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IV49tYyuaxywIlUSvMW6Uz9nPT95CMlfbCCTYeZVPZ/T00DNKCGTyogSSYUYp1JAxMf6W9dj3VeBiMvxVs6gg==" workbookSaltValue="O13AlD/CnBoMl3zdk53oG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L20" i="2" s="1"/>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H9" i="16"/>
  <c r="V16" i="11"/>
  <c r="BF13" i="11"/>
  <c r="BG25" i="11"/>
  <c r="BH16" i="16"/>
  <c r="Q18" i="20"/>
  <c r="Q23" i="20" s="1"/>
  <c r="BF28" i="11"/>
  <c r="BF18" i="11"/>
  <c r="BG20" i="11"/>
  <c r="BG22" i="11"/>
  <c r="BK29" i="11"/>
  <c r="AZ19" i="11"/>
  <c r="S14" i="16"/>
  <c r="P14" i="16"/>
  <c r="F13" i="16"/>
  <c r="N30" i="16"/>
  <c r="H14" i="21"/>
  <c r="K26" i="2"/>
  <c r="K23" i="2"/>
  <c r="N26" i="2"/>
  <c r="M14" i="2"/>
  <c r="N14" i="2"/>
  <c r="N23" i="2"/>
  <c r="F30" i="17"/>
  <c r="F14" i="7"/>
  <c r="BK21" i="11"/>
  <c r="V11" i="11"/>
  <c r="BI25" i="11"/>
  <c r="BM12" i="11"/>
  <c r="V13" i="11"/>
  <c r="V9" i="11"/>
  <c r="BI19" i="11"/>
  <c r="BJ16" i="11"/>
  <c r="AP22" i="20"/>
  <c r="AP16" i="20"/>
  <c r="AZ13" i="11"/>
  <c r="V20" i="11"/>
  <c r="BL25" i="11"/>
  <c r="BG19" i="11"/>
  <c r="AZ9" i="11"/>
  <c r="AZ14" i="11" s="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8" i="20"/>
  <c r="BW22" i="20"/>
  <c r="BW10" i="20"/>
  <c r="BU18" i="17"/>
  <c r="BU13" i="17"/>
  <c r="BV29" i="16"/>
  <c r="BV22" i="16"/>
  <c r="S11" i="17"/>
  <c r="BW21" i="20"/>
  <c r="BU17" i="17"/>
  <c r="BU12" i="17"/>
  <c r="BV20" i="16"/>
  <c r="BV9" i="16"/>
  <c r="T14" i="16"/>
  <c r="AA29" i="16"/>
  <c r="AZ22" i="11"/>
  <c r="S25" i="17"/>
  <c r="AA20" i="16"/>
  <c r="AA18" i="16"/>
  <c r="R28" i="14"/>
  <c r="AZ20" i="11"/>
  <c r="AZ17" i="11"/>
  <c r="AZ12" i="11"/>
  <c r="X16" i="17"/>
  <c r="S11" i="14"/>
  <c r="V11" i="14" s="1"/>
  <c r="BF20" i="11"/>
  <c r="AZ11" i="11"/>
  <c r="T17"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AY14" i="8"/>
  <c r="BG16" i="8"/>
  <c r="BF9" i="8"/>
  <c r="L22" i="2"/>
  <c r="X21" i="20"/>
  <c r="C30" i="7"/>
  <c r="S16" i="17"/>
  <c r="L29" i="2"/>
  <c r="S17" i="17"/>
  <c r="L12" i="2"/>
  <c r="L17" i="2"/>
  <c r="L25" i="2"/>
  <c r="X19" i="16"/>
  <c r="L13" i="2"/>
  <c r="X10" i="21"/>
  <c r="AO14" i="21"/>
  <c r="L19" i="2"/>
  <c r="U9" i="17"/>
  <c r="U31" i="17" s="1"/>
  <c r="AA11" i="16"/>
  <c r="L9" i="2"/>
  <c r="L21" i="2"/>
  <c r="AP14" i="16"/>
  <c r="AA9" i="16"/>
  <c r="V25" i="16"/>
  <c r="V9" i="16"/>
  <c r="X13" i="16"/>
  <c r="T23" i="17"/>
  <c r="T26" i="17" s="1"/>
  <c r="T30" i="17" s="1"/>
  <c r="BG16" i="13"/>
  <c r="BE17" i="13"/>
  <c r="BE16" i="13"/>
  <c r="G30" i="14"/>
  <c r="G23" i="14"/>
  <c r="X32" i="20"/>
  <c r="AK31" i="8" l="1"/>
  <c r="BD9" i="8"/>
  <c r="H9" i="7" s="1"/>
  <c r="L28" i="2"/>
  <c r="H21" i="2"/>
  <c r="Z14" i="17"/>
  <c r="BF17" i="8"/>
  <c r="BD12" i="8"/>
  <c r="B16" i="6"/>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BM31" i="1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<sst xmlns="http://schemas.openxmlformats.org/spreadsheetml/2006/main" count="2654" uniqueCount="1183">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</sst>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1</v>
      </c>
      <c r="E5" s="418"/>
      <c r="F5" s="3"/>
      <c r="H5" t="s">
        <v>542</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w82Mo2LRkjtvuzPktjs5OMFwvR7Q3R5U7QHL+JKA4iVYrmCLGFeRhSbPTKX1QNeBVTZ+BFfQq2Zfx92NRRvg==" saltValue="kDWXv42l10rYYeoaw1Nf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GALICIA</v>
      </c>
      <c r="C4" s="1450"/>
      <c r="D4" s="1450"/>
      <c r="E4" s="1451"/>
      <c r="F4" s="1450"/>
      <c r="G4" s="664"/>
      <c r="H4" s="1722" t="s">
        <v>471</v>
      </c>
      <c r="I4" s="1723"/>
      <c r="J4" s="1723"/>
      <c r="K4" s="1723"/>
      <c r="L4" s="1723"/>
      <c r="M4" s="1452"/>
      <c r="N4" s="1722" t="s">
        <v>472</v>
      </c>
      <c r="O4" s="1723"/>
      <c r="P4" s="1723"/>
      <c r="Q4" s="1723"/>
      <c r="R4" s="1723"/>
      <c r="S4" s="1723"/>
      <c r="T4" s="1723"/>
      <c r="U4" s="1723"/>
      <c r="V4" s="1723"/>
      <c r="W4" s="1723"/>
      <c r="X4" s="1723"/>
      <c r="Y4" s="1723"/>
      <c r="Z4" s="1723"/>
      <c r="AA4" s="1723"/>
      <c r="AB4" s="1723"/>
      <c r="AC4" s="1723"/>
      <c r="AD4" s="1724"/>
    </row>
    <row r="5" spans="1:31" s="533" customFormat="1" ht="15.75" customHeight="1">
      <c r="A5" s="1736" t="s">
        <v>461</v>
      </c>
      <c r="B5" s="1738" t="str">
        <f>"Año:  " &amp;Criterios!B5 &amp; "      Trimestre   " &amp;Criterios!D5 &amp; " al " &amp;Criterios!D6</f>
        <v>Año:  2022      Trimestre   1 al 4</v>
      </c>
      <c r="C5" s="1742" t="s">
        <v>334</v>
      </c>
      <c r="D5" s="1744" t="s">
        <v>173</v>
      </c>
      <c r="E5" s="1744" t="s">
        <v>126</v>
      </c>
      <c r="F5" s="1746" t="s">
        <v>14</v>
      </c>
      <c r="G5" s="1728"/>
      <c r="H5" s="1725" t="s">
        <v>466</v>
      </c>
      <c r="I5" s="1748" t="s">
        <v>468</v>
      </c>
      <c r="J5" s="1725" t="s">
        <v>467</v>
      </c>
      <c r="K5" s="1727" t="s">
        <v>384</v>
      </c>
      <c r="L5" s="1727" t="s">
        <v>469</v>
      </c>
      <c r="M5" s="1727" t="s">
        <v>463</v>
      </c>
      <c r="N5" s="1712"/>
      <c r="O5" s="1713"/>
      <c r="P5" s="578"/>
      <c r="Q5" s="1716" t="s">
        <v>594</v>
      </c>
      <c r="R5" s="1717"/>
      <c r="S5" s="1718"/>
      <c r="T5" s="1730"/>
      <c r="U5" s="1731"/>
      <c r="V5" s="1732"/>
      <c r="W5" s="1716" t="s">
        <v>345</v>
      </c>
      <c r="X5" s="1717"/>
      <c r="Y5" s="1717"/>
      <c r="Z5" s="1718"/>
      <c r="AA5" s="1716" t="s">
        <v>589</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504</v>
      </c>
      <c r="P7" s="1456" t="s">
        <v>505</v>
      </c>
      <c r="Q7" s="1457" t="s">
        <v>506</v>
      </c>
      <c r="R7" s="1456" t="s">
        <v>497</v>
      </c>
      <c r="S7" s="1457" t="s">
        <v>1104</v>
      </c>
      <c r="T7" s="1523" t="s">
        <v>1105</v>
      </c>
      <c r="U7" s="1523" t="s">
        <v>1106</v>
      </c>
      <c r="V7" s="1523" t="s">
        <v>1107</v>
      </c>
      <c r="W7" s="1455" t="s">
        <v>590</v>
      </c>
      <c r="X7" s="1549" t="s">
        <v>1129</v>
      </c>
      <c r="Y7" s="1549" t="s">
        <v>1130</v>
      </c>
      <c r="Z7" s="1550" t="s">
        <v>1131</v>
      </c>
      <c r="AA7" s="1458" t="s">
        <v>590</v>
      </c>
      <c r="AB7" s="1547" t="s">
        <v>591</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5.1386349138847542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34</v>
      </c>
      <c r="E10" s="240">
        <f>IF(ISNUMBER(Datos!J10),Datos!J10," - ")</f>
        <v>57</v>
      </c>
      <c r="F10" s="240">
        <f>IF(ISNUMBER(Datos!K10),Datos!K10," - ")</f>
        <v>53</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0.12903225806451613</v>
      </c>
      <c r="L10" s="1402">
        <f>IF(ISNUMBER(NºAsuntos!I10/NºAsuntos!G10),(NºAsuntos!I10/NºAsuntos!G10)*11," - ")</f>
        <v>7.2641509433962259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3.4747536945812811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34</v>
      </c>
      <c r="E14" s="1408">
        <f>SUBTOTAL(9,E9:E13)</f>
        <v>57</v>
      </c>
      <c r="F14" s="1409">
        <f>SUBTOTAL(9,F9:F13)</f>
        <v>53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1187</v>
      </c>
      <c r="D16" s="239">
        <f>IF(ISNUMBER(IF(D_I="SI",Datos!I16,Datos!I16+Datos!AC16)),IF(D_I="SI",Datos!I16,Datos!I16+Datos!AC16)," - ")</f>
        <v>1161</v>
      </c>
      <c r="E16" s="240">
        <f>IF(ISNUMBER(IF(D_I="SI",Datos!J16,Datos!J16+Datos!AD16)),IF(D_I="SI",Datos!J16,Datos!J16+Datos!AD16)," - ")</f>
        <v>3948</v>
      </c>
      <c r="F16" s="240">
        <f>IF(ISNUMBER(IF(D_I="SI",Datos!K16,Datos!K16+Datos!AE16)),IF(D_I="SI",Datos!K16,Datos!K16+Datos!AE16)," - ")</f>
        <v>4148</v>
      </c>
      <c r="G16" s="1390" t="str">
        <f>IF(Datos!E16&lt;&gt;"",Datos!E16,Datos!D16)</f>
        <v>03</v>
      </c>
      <c r="H16" s="241">
        <f>IF(ISNUMBER(IF(D_I="SI",Datos!L16,Datos!L16+Datos!AF16)),IF(D_I="SI",Datos!L16,Datos!L16+Datos!AF16)," - ")</f>
        <v>987</v>
      </c>
      <c r="I16" s="1400" t="str">
        <f>IF(ISNUMBER(Datos!AS16/Datos!BM16),Datos!AS16/Datos!BM16," - ")</f>
        <v xml:space="preserve"> - </v>
      </c>
      <c r="J16" s="1401">
        <f>IF(ISNUMBER(Datos!BY16/Datos!CN16),Datos!BY16/Datos!CN16," - ")</f>
        <v>0</v>
      </c>
      <c r="K16" s="244">
        <f t="shared" ref="K16:K22" si="3">IF(ISNUMBER((E16-F16)/C16),(E16-F16)/C16," - ")</f>
        <v>-0.16849199663016007</v>
      </c>
      <c r="L16" s="1402">
        <f>IF(ISNUMBER(NºAsuntos!I16/NºAsuntos!G16),(NºAsuntos!I16/NºAsuntos!G16)*11," - ")</f>
        <v>2.6174059787849564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53</v>
      </c>
      <c r="D18" s="239">
        <f>IF(ISNUMBER(IF(D_I="SI",Datos!I18,Datos!I18+Datos!AC18)),IF(D_I="SI",Datos!I18,Datos!I18+Datos!AC18)," - ")</f>
        <v>56</v>
      </c>
      <c r="E18" s="240">
        <f>IF(ISNUMBER(IF(D_I="SI",Datos!J18,Datos!J18+Datos!AD18)),IF(D_I="SI",Datos!J18,Datos!J18+Datos!AD18)," - ")</f>
        <v>317</v>
      </c>
      <c r="F18" s="240">
        <f>IF(ISNUMBER(IF(D_I="SI",Datos!K18,Datos!K18+Datos!AE18)),IF(D_I="SI",Datos!K18,Datos!K18+Datos!AE18)," - ")</f>
        <v>329</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-0.22641509433962265</v>
      </c>
      <c r="L18" s="1402">
        <f>IF(ISNUMBER(NºAsuntos!I18/NºAsuntos!G18),(NºAsuntos!I18/NºAsuntos!G18)*11," - ")</f>
        <v>1.3708206686930091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1240</v>
      </c>
      <c r="D23" s="1407">
        <f>SUBTOTAL(9,D16:D22)</f>
        <v>1217</v>
      </c>
      <c r="E23" s="1408">
        <f>SUBTOTAL(9,E16:E22)</f>
        <v>4265</v>
      </c>
      <c r="F23" s="1408">
        <f>SUBTOTAL(9,F16:F22)</f>
        <v>4477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1271</v>
      </c>
      <c r="D31" s="1435">
        <f>SUBTOTAL(9,D9:D30)</f>
        <v>1251</v>
      </c>
      <c r="E31" s="1436">
        <f>SUBTOTAL(9,E9:E30)</f>
        <v>4322</v>
      </c>
      <c r="F31" s="1436">
        <f>SUBTOTAL(9,F9:F30)</f>
        <v>4530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837</v>
      </c>
      <c r="O37" s="1711"/>
      <c r="P37" s="1711"/>
      <c r="Q37" s="1711"/>
      <c r="R37" s="1711"/>
      <c r="S37" s="1711"/>
      <c r="T37" s="1711"/>
      <c r="U37" s="1711"/>
      <c r="V37" s="1711"/>
      <c r="W37" s="1711"/>
      <c r="Y37" s="1711" t="s">
        <v>838</v>
      </c>
      <c r="Z37" s="1711"/>
      <c r="AA37" s="1711"/>
      <c r="AB37" s="1711"/>
      <c r="AC37" s="1711"/>
    </row>
    <row r="39" spans="2:29">
      <c r="N39" s="1386" t="s">
        <v>839</v>
      </c>
      <c r="O39" s="1706" t="s">
        <v>840</v>
      </c>
      <c r="P39" s="1706"/>
      <c r="Q39" s="1706"/>
      <c r="R39" s="1706"/>
      <c r="S39" s="1706"/>
      <c r="T39" s="1706"/>
      <c r="U39" s="1706"/>
      <c r="V39" s="1706"/>
      <c r="W39" s="1706"/>
      <c r="Y39" s="1386" t="s">
        <v>839</v>
      </c>
      <c r="Z39" s="1709" t="s">
        <v>841</v>
      </c>
      <c r="AA39" s="1709"/>
      <c r="AB39" s="1709"/>
      <c r="AC39" s="1709"/>
    </row>
    <row r="40" spans="2:29">
      <c r="N40" s="1386" t="s">
        <v>842</v>
      </c>
      <c r="O40" s="1706" t="s">
        <v>843</v>
      </c>
      <c r="P40" s="1706"/>
      <c r="Q40" s="1706"/>
      <c r="R40" s="1706"/>
      <c r="S40" s="1706"/>
      <c r="T40" s="1706"/>
      <c r="U40" s="1706"/>
      <c r="V40" s="1706"/>
      <c r="W40" s="1706"/>
      <c r="Y40" s="1386" t="s">
        <v>842</v>
      </c>
      <c r="Z40" s="1709" t="s">
        <v>844</v>
      </c>
      <c r="AA40" s="1709"/>
      <c r="AB40" s="1709"/>
      <c r="AC40" s="1709"/>
    </row>
    <row r="41" spans="2:29">
      <c r="N41" s="1386" t="s">
        <v>845</v>
      </c>
      <c r="O41" s="1706" t="s">
        <v>846</v>
      </c>
      <c r="P41" s="1706"/>
      <c r="Q41" s="1706"/>
      <c r="R41" s="1706"/>
      <c r="S41" s="1706"/>
      <c r="T41" s="1706"/>
      <c r="U41" s="1706"/>
      <c r="V41" s="1706"/>
      <c r="W41" s="1706"/>
      <c r="Y41" s="1386" t="s">
        <v>847</v>
      </c>
      <c r="Z41" s="1709" t="s">
        <v>848</v>
      </c>
      <c r="AA41" s="1709"/>
      <c r="AB41" s="1709"/>
      <c r="AC41" s="1709"/>
    </row>
    <row r="42" spans="2:29">
      <c r="N42" s="1386" t="s">
        <v>849</v>
      </c>
      <c r="O42" s="1706" t="s">
        <v>850</v>
      </c>
      <c r="P42" s="1706"/>
      <c r="Q42" s="1706"/>
      <c r="R42" s="1706"/>
      <c r="S42" s="1706"/>
      <c r="T42" s="1706"/>
      <c r="U42" s="1706"/>
      <c r="V42" s="1706"/>
      <c r="W42" s="1706"/>
      <c r="Y42" s="1386" t="s">
        <v>851</v>
      </c>
      <c r="Z42" s="1709" t="s">
        <v>852</v>
      </c>
      <c r="AA42" s="1709"/>
      <c r="AB42" s="1709"/>
      <c r="AC42" s="1709"/>
    </row>
    <row r="43" spans="2:29">
      <c r="N43" s="1386" t="s">
        <v>939</v>
      </c>
      <c r="O43" s="1706" t="s">
        <v>940</v>
      </c>
      <c r="P43" s="1706"/>
      <c r="Q43" s="1706"/>
      <c r="R43" s="1706"/>
      <c r="S43" s="1706"/>
      <c r="T43" s="1706"/>
      <c r="U43" s="1706"/>
      <c r="V43" s="1706"/>
      <c r="W43" s="1706"/>
      <c r="Y43" s="1386" t="s">
        <v>845</v>
      </c>
      <c r="Z43" s="1709" t="s">
        <v>846</v>
      </c>
      <c r="AA43" s="1709"/>
      <c r="AB43" s="1709"/>
      <c r="AC43" s="1709"/>
    </row>
    <row r="44" spans="2:29">
      <c r="N44" s="1386" t="s">
        <v>853</v>
      </c>
      <c r="O44" s="1706" t="s">
        <v>854</v>
      </c>
      <c r="P44" s="1706"/>
      <c r="Q44" s="1706"/>
      <c r="R44" s="1706"/>
      <c r="S44" s="1706"/>
      <c r="T44" s="1706"/>
      <c r="U44" s="1706"/>
      <c r="V44" s="1706"/>
      <c r="W44" s="1706"/>
      <c r="Y44" s="1386" t="s">
        <v>849</v>
      </c>
      <c r="Z44" s="1709" t="s">
        <v>850</v>
      </c>
      <c r="AA44" s="1709"/>
      <c r="AB44" s="1709"/>
      <c r="AC44" s="1709"/>
    </row>
    <row r="45" spans="2:29">
      <c r="N45" s="1386" t="s">
        <v>855</v>
      </c>
      <c r="O45" s="1706" t="s">
        <v>856</v>
      </c>
      <c r="P45" s="1706"/>
      <c r="Q45" s="1706"/>
      <c r="R45" s="1706"/>
      <c r="S45" s="1706"/>
      <c r="T45" s="1706"/>
      <c r="U45" s="1706"/>
      <c r="V45" s="1706"/>
      <c r="W45" s="1706"/>
      <c r="Y45" s="1386" t="s">
        <v>858</v>
      </c>
      <c r="Z45" s="1709" t="s">
        <v>859</v>
      </c>
      <c r="AA45" s="1709"/>
      <c r="AB45" s="1709"/>
      <c r="AC45" s="1709"/>
    </row>
    <row r="46" spans="2:29">
      <c r="N46" s="1386" t="s">
        <v>847</v>
      </c>
      <c r="O46" s="1706" t="s">
        <v>857</v>
      </c>
      <c r="P46" s="1706"/>
      <c r="Q46" s="1706"/>
      <c r="R46" s="1706"/>
      <c r="S46" s="1706"/>
      <c r="T46" s="1706"/>
      <c r="U46" s="1706"/>
      <c r="V46" s="1706"/>
      <c r="W46" s="1706"/>
      <c r="Y46" s="1386" t="s">
        <v>861</v>
      </c>
      <c r="Z46" s="1709" t="s">
        <v>862</v>
      </c>
      <c r="AA46" s="1709"/>
      <c r="AB46" s="1709"/>
      <c r="AC46" s="1709"/>
    </row>
    <row r="47" spans="2:29">
      <c r="N47" s="1386" t="s">
        <v>851</v>
      </c>
      <c r="O47" s="1706" t="s">
        <v>860</v>
      </c>
      <c r="P47" s="1706"/>
      <c r="Q47" s="1706"/>
      <c r="R47" s="1706"/>
      <c r="S47" s="1706"/>
      <c r="T47" s="1706"/>
      <c r="U47" s="1706"/>
      <c r="V47" s="1706"/>
      <c r="W47" s="1706"/>
      <c r="Y47" s="1387" t="s">
        <v>864</v>
      </c>
      <c r="Z47" s="1707" t="s">
        <v>865</v>
      </c>
      <c r="AA47" s="1707"/>
      <c r="AB47" s="1707"/>
      <c r="AC47" s="1707"/>
    </row>
    <row r="48" spans="2:29">
      <c r="N48" s="1386" t="s">
        <v>858</v>
      </c>
      <c r="O48" s="1706" t="s">
        <v>863</v>
      </c>
      <c r="P48" s="1706"/>
      <c r="Q48" s="1706"/>
      <c r="R48" s="1706"/>
      <c r="S48" s="1706"/>
      <c r="T48" s="1706"/>
      <c r="U48" s="1706"/>
      <c r="V48" s="1706"/>
      <c r="W48" s="1706"/>
      <c r="Y48" s="1386" t="s">
        <v>853</v>
      </c>
      <c r="Z48" s="1709" t="s">
        <v>854</v>
      </c>
      <c r="AA48" s="1709"/>
      <c r="AB48" s="1709"/>
      <c r="AC48" s="1709"/>
    </row>
    <row r="49" spans="14:29">
      <c r="N49" s="1386" t="s">
        <v>866</v>
      </c>
      <c r="O49" s="1706" t="s">
        <v>867</v>
      </c>
      <c r="P49" s="1706"/>
      <c r="Q49" s="1706"/>
      <c r="R49" s="1706"/>
      <c r="S49" s="1706"/>
      <c r="T49" s="1706"/>
      <c r="U49" s="1706"/>
      <c r="V49" s="1706"/>
      <c r="W49" s="1706"/>
      <c r="Y49" s="1388" t="s">
        <v>855</v>
      </c>
      <c r="Z49" s="1710" t="s">
        <v>856</v>
      </c>
      <c r="AA49" s="1710"/>
      <c r="AB49" s="1710"/>
      <c r="AC49" s="1710"/>
    </row>
    <row r="50" spans="14:29">
      <c r="N50" s="1386" t="s">
        <v>861</v>
      </c>
      <c r="O50" s="1706" t="s">
        <v>868</v>
      </c>
      <c r="P50" s="1706"/>
      <c r="Q50" s="1706"/>
      <c r="R50" s="1706"/>
      <c r="S50" s="1706"/>
      <c r="T50" s="1706"/>
      <c r="U50" s="1706"/>
      <c r="V50" s="1706"/>
      <c r="W50" s="1706"/>
    </row>
    <row r="51" spans="14:29">
      <c r="N51" s="1388" t="s">
        <v>864</v>
      </c>
      <c r="O51" s="1708" t="s">
        <v>869</v>
      </c>
      <c r="P51" s="1708"/>
      <c r="Q51" s="1708"/>
      <c r="R51" s="1708"/>
      <c r="S51" s="1708"/>
      <c r="T51" s="1708"/>
      <c r="U51" s="1708"/>
      <c r="V51" s="1708"/>
      <c r="W51" s="1708"/>
    </row>
  </sheetData>
  <sheetProtection algorithmName="SHA-512" hashValue="q90dAnAWNfuTfHTiBxOPoz7oMImzkcpxVk2EKA0FYuymwQbMbGxkxXTkXC7HIbFMCrPXKz7S5WC3KCfp5fHJHQ==" saltValue="lKlOQxYH9JhwbjxwZLx/m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DomJ9zynhsOagVl9IS5dwbkmKMZAXxMaCmffsHSsSaCNekxOA0Uubt/dMv+OQGOoaioT+jWFJjaCe9s2pG2Ugg==" saltValue="OhW5iZxJXeYJyzyWdvnk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409</v>
      </c>
      <c r="BN5" s="1630"/>
      <c r="BO5" s="1631"/>
      <c r="BP5" s="1630"/>
      <c r="BQ5" s="1631"/>
      <c r="BR5" s="1630"/>
      <c r="BS5" s="1631"/>
      <c r="BT5" s="1630"/>
      <c r="BU5" s="1631"/>
      <c r="BV5" s="1807" t="s">
        <v>345</v>
      </c>
      <c r="BW5" s="1813" t="s">
        <v>323</v>
      </c>
      <c r="BX5" s="1813"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543</v>
      </c>
      <c r="CL5" s="1774" t="s">
        <v>544</v>
      </c>
      <c r="CM5" s="1774" t="s">
        <v>582</v>
      </c>
      <c r="CN5" s="1858" t="s">
        <v>480</v>
      </c>
      <c r="CO5" s="1858" t="s">
        <v>473</v>
      </c>
      <c r="CP5" s="1858" t="s">
        <v>479</v>
      </c>
      <c r="CQ5" s="1873" t="s">
        <v>478</v>
      </c>
      <c r="CR5" s="1873" t="s">
        <v>478</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639</v>
      </c>
      <c r="DM5" s="1777" t="s">
        <v>709</v>
      </c>
      <c r="DN5" s="1777" t="s">
        <v>710</v>
      </c>
      <c r="DO5" s="1777" t="s">
        <v>711</v>
      </c>
      <c r="DP5" s="1777" t="s">
        <v>712</v>
      </c>
      <c r="DQ5" s="1777" t="s">
        <v>713</v>
      </c>
      <c r="DR5" s="1777" t="s">
        <v>714</v>
      </c>
      <c r="DS5" s="1777" t="s">
        <v>715</v>
      </c>
      <c r="DT5" s="1777" t="s">
        <v>716</v>
      </c>
      <c r="DU5" s="1778" t="s">
        <v>717</v>
      </c>
      <c r="DV5" s="1756" t="s">
        <v>718</v>
      </c>
      <c r="DW5" s="1753" t="s">
        <v>719</v>
      </c>
      <c r="DX5" s="1777" t="s">
        <v>720</v>
      </c>
      <c r="DY5" s="1750" t="s">
        <v>721</v>
      </c>
      <c r="DZ5" s="1753" t="s">
        <v>722</v>
      </c>
      <c r="EA5" s="1750" t="s">
        <v>723</v>
      </c>
      <c r="EB5" s="1784" t="s">
        <v>783</v>
      </c>
      <c r="EC5" s="1784" t="s">
        <v>784</v>
      </c>
      <c r="ED5" s="1784" t="s">
        <v>785</v>
      </c>
      <c r="EE5" s="1784" t="s">
        <v>825</v>
      </c>
      <c r="EF5" s="1784" t="s">
        <v>829</v>
      </c>
      <c r="EG5" s="1750" t="s">
        <v>827</v>
      </c>
      <c r="EH5" s="1750" t="s">
        <v>828</v>
      </c>
      <c r="EI5" s="1750" t="s">
        <v>787</v>
      </c>
      <c r="EJ5" s="1750" t="s">
        <v>788</v>
      </c>
      <c r="EK5" s="1765" t="s">
        <v>876</v>
      </c>
      <c r="EL5" s="1768" t="s">
        <v>894</v>
      </c>
      <c r="EM5" s="1769"/>
      <c r="EN5" s="1770"/>
      <c r="EO5" s="1762" t="s">
        <v>994</v>
      </c>
      <c r="EP5" s="1762" t="s">
        <v>996</v>
      </c>
      <c r="EQ5" s="1762" t="s">
        <v>997</v>
      </c>
      <c r="ER5" s="1762" t="s">
        <v>1002</v>
      </c>
      <c r="ES5" s="1762" t="s">
        <v>1012</v>
      </c>
      <c r="ET5" s="1759" t="s">
        <v>1097</v>
      </c>
      <c r="EU5" s="1759" t="s">
        <v>1098</v>
      </c>
      <c r="EV5" s="1870" t="s">
        <v>1119</v>
      </c>
      <c r="EW5" s="1870" t="s">
        <v>1125</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993</v>
      </c>
      <c r="B7" s="1821"/>
      <c r="C7" s="1824"/>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895</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1099</v>
      </c>
      <c r="EU8" s="1519" t="s">
        <v>1100</v>
      </c>
      <c r="EV8" s="165" t="s">
        <v>1108</v>
      </c>
      <c r="EW8" s="165">
        <v>153</v>
      </c>
      <c r="EX8" s="532" t="s">
        <v>1160</v>
      </c>
      <c r="EY8" s="532" t="s">
        <v>1174</v>
      </c>
    </row>
    <row r="9" spans="1:155" ht="14.25" customHeight="1">
      <c r="A9" s="20" t="s">
        <v>72</v>
      </c>
      <c r="B9" s="21" t="s">
        <v>515</v>
      </c>
      <c r="C9" s="22" t="s">
        <v>8</v>
      </c>
      <c r="D9" s="23" t="s">
        <v>25</v>
      </c>
      <c r="E9" s="21" t="s">
        <v>26</v>
      </c>
      <c r="F9" s="21">
        <v>32</v>
      </c>
      <c r="G9" s="6"/>
      <c r="H9" s="146" t="s">
        <v>316</v>
      </c>
      <c r="I9" s="193">
        <v>1870</v>
      </c>
      <c r="J9" s="194">
        <v>4612</v>
      </c>
      <c r="K9" s="194">
        <v>4345</v>
      </c>
      <c r="L9" s="194">
        <v>2140</v>
      </c>
      <c r="M9" s="194">
        <v>1087</v>
      </c>
      <c r="N9" s="194">
        <v>1840</v>
      </c>
      <c r="O9" s="194">
        <v>2271</v>
      </c>
      <c r="P9" s="194">
        <v>1263</v>
      </c>
      <c r="Q9" s="194">
        <v>1783</v>
      </c>
      <c r="R9" s="194">
        <v>3931</v>
      </c>
      <c r="S9" s="194">
        <v>2349</v>
      </c>
      <c r="T9" s="194">
        <v>4306</v>
      </c>
      <c r="U9" s="194">
        <v>4783</v>
      </c>
      <c r="V9" s="194">
        <v>1870</v>
      </c>
      <c r="W9" s="194">
        <v>1130</v>
      </c>
      <c r="X9" s="201">
        <v>2045</v>
      </c>
      <c r="Y9" s="204">
        <v>77</v>
      </c>
      <c r="Z9" s="194">
        <v>338</v>
      </c>
      <c r="AA9" s="194">
        <v>358</v>
      </c>
      <c r="AB9" s="194">
        <v>57</v>
      </c>
      <c r="AC9" s="194">
        <v>0</v>
      </c>
      <c r="AD9" s="194">
        <v>0</v>
      </c>
      <c r="AE9" s="194">
        <v>0</v>
      </c>
      <c r="AF9" s="201">
        <v>0</v>
      </c>
      <c r="AG9" s="204">
        <v>118</v>
      </c>
      <c r="AH9" s="194">
        <v>376</v>
      </c>
      <c r="AI9" s="194">
        <v>417</v>
      </c>
      <c r="AJ9" s="205">
        <v>77</v>
      </c>
      <c r="AK9" s="193">
        <v>0</v>
      </c>
      <c r="AL9" s="194">
        <v>0</v>
      </c>
      <c r="AM9" s="194">
        <v>0</v>
      </c>
      <c r="AN9" s="201">
        <v>0</v>
      </c>
      <c r="AO9" s="282">
        <v>4</v>
      </c>
      <c r="AP9" s="167">
        <v>4</v>
      </c>
      <c r="AQ9" s="167">
        <v>4</v>
      </c>
      <c r="AR9" s="206">
        <v>4</v>
      </c>
      <c r="AS9" s="379" t="s">
        <v>1067</v>
      </c>
      <c r="AT9" s="208"/>
      <c r="AU9" s="207"/>
      <c r="AV9" s="208"/>
      <c r="AW9" s="207"/>
      <c r="AX9" s="208"/>
      <c r="AY9" s="133">
        <f>IF(ISNUMBER(IF(J_V="SI",S9,S9+AG9)),IF(J_V="SI",S9,S9+AG9)," - ")</f>
        <v>2467</v>
      </c>
      <c r="AZ9" s="133">
        <f>IF(ISNUMBER(IF(J_V="SI",T9,T9+AH9)),IF(J_V="SI",T9,T9+AH9)," - ")</f>
        <v>4682</v>
      </c>
      <c r="BA9" s="134">
        <f>IF(ISNUMBER(IF(J_V="SI",U9,U9+AI9)),IF(J_V="SI",U9,U9+AI9)," - ")</f>
        <v>5200</v>
      </c>
      <c r="BB9" s="134">
        <f>IF(ISNUMBER(IF(J_V="SI",V9,V9+AJ9)),IF(J_V="SI",V9,V9+AJ9)," - ")</f>
        <v>1947</v>
      </c>
      <c r="BC9" s="135">
        <f>IF(ISNUMBER(X9),X9," - ")</f>
        <v>2045</v>
      </c>
      <c r="BD9" s="136">
        <f>IF(ISNUMBER(BA9/AZ9),BA9/AZ9," - ")</f>
        <v>1.1106364801366937</v>
      </c>
      <c r="BE9" s="137">
        <f>IF(ISNUMBER(BB9/BA9),BB9/BA9, " - ")</f>
        <v>0.37442307692307691</v>
      </c>
      <c r="BF9" s="137">
        <f>IF(ISNUMBER(BC9/BA9),BC9/BA9, " - ")</f>
        <v>0.39326923076923076</v>
      </c>
      <c r="BG9" s="209">
        <f>IF(ISNUMBER((AY9+AZ9)/BA9),(AY9+AZ9)/BA9," - ")</f>
        <v>1.3748076923076924</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34</v>
      </c>
      <c r="J10" s="194">
        <v>57</v>
      </c>
      <c r="K10" s="194">
        <v>53</v>
      </c>
      <c r="L10" s="194">
        <v>35</v>
      </c>
      <c r="M10" s="194">
        <v>27</v>
      </c>
      <c r="N10" s="194">
        <v>19</v>
      </c>
      <c r="O10" s="194">
        <v>7</v>
      </c>
      <c r="P10" s="194">
        <v>17</v>
      </c>
      <c r="Q10" s="194">
        <v>13</v>
      </c>
      <c r="R10" s="194">
        <v>69</v>
      </c>
      <c r="S10" s="194">
        <v>43</v>
      </c>
      <c r="T10" s="194">
        <v>76</v>
      </c>
      <c r="U10" s="194">
        <v>85</v>
      </c>
      <c r="V10" s="194">
        <v>34</v>
      </c>
      <c r="W10" s="194">
        <v>30</v>
      </c>
      <c r="X10" s="201">
        <v>35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43</v>
      </c>
      <c r="AZ10" s="139">
        <f t="shared" si="0"/>
        <v>76</v>
      </c>
      <c r="BA10" s="139">
        <f t="shared" si="0"/>
        <v>85</v>
      </c>
      <c r="BB10" s="139">
        <f t="shared" si="0"/>
        <v>34</v>
      </c>
      <c r="BC10" s="135">
        <f t="shared" si="0"/>
        <v>30</v>
      </c>
      <c r="BD10" s="136">
        <f>IF(ISNUMBER(BA10/AZ10),BA10/AZ10," - ")</f>
        <v>1.118421052631579</v>
      </c>
      <c r="BE10" s="137">
        <f>IF(ISNUMBER(BB10/BA10),BB10/BA10, " - ")</f>
        <v>0.4</v>
      </c>
      <c r="BF10" s="137">
        <f>IF(ISNUMBER(BC10/BA10),BC10/BA10, " - ")</f>
        <v>0.35294117647058826</v>
      </c>
      <c r="BG10" s="209">
        <f>IF(ISNUMBER((AY10+AZ10)/BA10),(AY10+AZ10)/BA10," - ")</f>
        <v>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365</v>
      </c>
      <c r="J11" s="196">
        <v>827</v>
      </c>
      <c r="K11" s="196">
        <v>724</v>
      </c>
      <c r="L11" s="196">
        <v>391</v>
      </c>
      <c r="M11" s="196">
        <v>280</v>
      </c>
      <c r="N11" s="196">
        <v>963</v>
      </c>
      <c r="O11" s="194">
        <v>288</v>
      </c>
      <c r="P11" s="196">
        <v>148</v>
      </c>
      <c r="Q11" s="196">
        <v>379</v>
      </c>
      <c r="R11" s="196">
        <v>356</v>
      </c>
      <c r="S11" s="196">
        <v>567</v>
      </c>
      <c r="T11" s="196">
        <v>805</v>
      </c>
      <c r="U11" s="196">
        <v>906</v>
      </c>
      <c r="V11" s="196">
        <v>365</v>
      </c>
      <c r="W11" s="196">
        <v>492</v>
      </c>
      <c r="X11" s="202">
        <v>789</v>
      </c>
      <c r="Y11" s="204">
        <v>94</v>
      </c>
      <c r="Z11" s="194">
        <v>863</v>
      </c>
      <c r="AA11" s="194">
        <v>900</v>
      </c>
      <c r="AB11" s="194">
        <v>122</v>
      </c>
      <c r="AC11" s="196">
        <v>0</v>
      </c>
      <c r="AD11" s="196">
        <v>0</v>
      </c>
      <c r="AE11" s="196">
        <v>0</v>
      </c>
      <c r="AF11" s="202">
        <v>0</v>
      </c>
      <c r="AG11" s="215">
        <v>29</v>
      </c>
      <c r="AH11" s="196">
        <v>655</v>
      </c>
      <c r="AI11" s="196">
        <v>632</v>
      </c>
      <c r="AJ11" s="216">
        <v>94</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596</v>
      </c>
      <c r="AZ11" s="137">
        <f t="shared" si="1"/>
        <v>1460</v>
      </c>
      <c r="BA11" s="137">
        <f t="shared" si="1"/>
        <v>1538</v>
      </c>
      <c r="BB11" s="137">
        <f t="shared" si="1"/>
        <v>459</v>
      </c>
      <c r="BC11" s="135">
        <f>IF(ISNUMBER(X11),X11," - ")</f>
        <v>789</v>
      </c>
      <c r="BD11" s="136">
        <f t="shared" ref="BD11:BD13" si="2">IF(ISNUMBER(BA11/AZ11),BA11/AZ11," - ")</f>
        <v>1.0534246575342465</v>
      </c>
      <c r="BE11" s="137">
        <f t="shared" ref="BE11:BE13" si="3">IF(ISNUMBER(BB11/BA11),BB11/BA11, " - ")</f>
        <v>0.29843953185955785</v>
      </c>
      <c r="BF11" s="137">
        <f t="shared" ref="BF11:BF13" si="4">IF(ISNUMBER(BC11/BA11),BC11/BA11, " - ")</f>
        <v>0.51300390117035111</v>
      </c>
      <c r="BG11" s="209">
        <f t="shared" ref="BG11:BG13" si="5">IF(ISNUMBER((AY11+AZ11)/BA11),(AY11+AZ11)/BA11," - ")</f>
        <v>1.3368010403120936</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3</v>
      </c>
      <c r="K12" s="196">
        <v>3</v>
      </c>
      <c r="L12" s="196">
        <v>1</v>
      </c>
      <c r="M12" s="196">
        <v>0</v>
      </c>
      <c r="N12" s="196">
        <v>4</v>
      </c>
      <c r="O12" s="194">
        <v>2</v>
      </c>
      <c r="P12" s="196">
        <v>0</v>
      </c>
      <c r="Q12" s="196">
        <v>11</v>
      </c>
      <c r="R12" s="196">
        <v>158</v>
      </c>
      <c r="S12" s="196">
        <v>2</v>
      </c>
      <c r="T12" s="196">
        <v>0</v>
      </c>
      <c r="U12" s="196">
        <v>1</v>
      </c>
      <c r="V12" s="196">
        <v>1</v>
      </c>
      <c r="W12" s="196">
        <v>0</v>
      </c>
      <c r="X12" s="202">
        <v>4</v>
      </c>
      <c r="Y12" s="204">
        <v>0</v>
      </c>
      <c r="Z12" s="194">
        <v>1</v>
      </c>
      <c r="AA12" s="194">
        <v>1</v>
      </c>
      <c r="AB12" s="194">
        <v>0</v>
      </c>
      <c r="AC12" s="196">
        <v>0</v>
      </c>
      <c r="AD12" s="196">
        <v>0</v>
      </c>
      <c r="AE12" s="196">
        <v>0</v>
      </c>
      <c r="AF12" s="202">
        <v>0</v>
      </c>
      <c r="AG12" s="215">
        <v>0</v>
      </c>
      <c r="AH12" s="196">
        <v>2</v>
      </c>
      <c r="AI12" s="196">
        <v>2</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2</v>
      </c>
      <c r="AZ12" s="137">
        <f t="shared" si="1"/>
        <v>2</v>
      </c>
      <c r="BA12" s="137">
        <f t="shared" si="1"/>
        <v>3</v>
      </c>
      <c r="BB12" s="137">
        <f t="shared" si="1"/>
        <v>1</v>
      </c>
      <c r="BC12" s="135">
        <f>IF(ISNUMBER(X12),X12," - ")</f>
        <v>4</v>
      </c>
      <c r="BD12" s="136">
        <f t="shared" si="2"/>
        <v>1.5</v>
      </c>
      <c r="BE12" s="137">
        <f t="shared" si="3"/>
        <v>0.33333333333333331</v>
      </c>
      <c r="BF12" s="137">
        <f t="shared" si="4"/>
        <v>1.3333333333333333</v>
      </c>
      <c r="BG12" s="209">
        <f t="shared" si="5"/>
        <v>1.3333333333333333</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2270</v>
      </c>
      <c r="J14" s="197">
        <f t="shared" si="7"/>
        <v>5499</v>
      </c>
      <c r="K14" s="197">
        <f t="shared" si="7"/>
        <v>5125</v>
      </c>
      <c r="L14" s="197">
        <f t="shared" si="7"/>
        <v>2567</v>
      </c>
      <c r="M14" s="197">
        <f t="shared" si="7"/>
        <v>1394</v>
      </c>
      <c r="N14" s="197">
        <f t="shared" si="7"/>
        <v>2826</v>
      </c>
      <c r="O14" s="197">
        <f t="shared" si="7"/>
        <v>2568</v>
      </c>
      <c r="P14" s="197">
        <f t="shared" si="7"/>
        <v>1428</v>
      </c>
      <c r="Q14" s="197">
        <f t="shared" si="7"/>
        <v>2186</v>
      </c>
      <c r="R14" s="197">
        <f t="shared" si="7"/>
        <v>4514</v>
      </c>
      <c r="S14" s="197">
        <f t="shared" si="7"/>
        <v>2961</v>
      </c>
      <c r="T14" s="197">
        <f t="shared" si="7"/>
        <v>5187</v>
      </c>
      <c r="U14" s="197">
        <f t="shared" si="7"/>
        <v>5775</v>
      </c>
      <c r="V14" s="197">
        <f t="shared" si="7"/>
        <v>2270</v>
      </c>
      <c r="W14" s="197">
        <f t="shared" si="7"/>
        <v>1652</v>
      </c>
      <c r="X14" s="197">
        <f t="shared" si="7"/>
        <v>2873</v>
      </c>
      <c r="Y14" s="197">
        <f t="shared" si="7"/>
        <v>171</v>
      </c>
      <c r="Z14" s="197">
        <f t="shared" si="7"/>
        <v>1202</v>
      </c>
      <c r="AA14" s="197">
        <f t="shared" si="7"/>
        <v>1259</v>
      </c>
      <c r="AB14" s="197">
        <f t="shared" si="7"/>
        <v>179</v>
      </c>
      <c r="AC14" s="197">
        <f t="shared" si="7"/>
        <v>0</v>
      </c>
      <c r="AD14" s="197">
        <f t="shared" si="7"/>
        <v>0</v>
      </c>
      <c r="AE14" s="197">
        <f t="shared" si="7"/>
        <v>0</v>
      </c>
      <c r="AF14" s="197">
        <f>SUBTOTAL(9,AF9:AF13)</f>
        <v>0</v>
      </c>
      <c r="AG14" s="197">
        <f t="shared" ref="AG14:AT14" si="8">SUBTOTAL(9,AG8:AG13)</f>
        <v>147</v>
      </c>
      <c r="AH14" s="197">
        <f t="shared" si="8"/>
        <v>1033</v>
      </c>
      <c r="AI14" s="197">
        <f t="shared" si="8"/>
        <v>1051</v>
      </c>
      <c r="AJ14" s="197">
        <f t="shared" si="8"/>
        <v>171</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3108</v>
      </c>
      <c r="AZ14" s="197">
        <f>SUBTOTAL(9,AZ8:AZ13)</f>
        <v>6220</v>
      </c>
      <c r="BA14" s="197">
        <f>SUBTOTAL(9,BA8:BA13)</f>
        <v>6826</v>
      </c>
      <c r="BB14" s="197">
        <f>SUBTOTAL(9,BB8:BB13)</f>
        <v>2441</v>
      </c>
      <c r="BC14" s="197">
        <f>SUBTOTAL(9,BC8:BC13)</f>
        <v>2868</v>
      </c>
      <c r="BD14" s="219">
        <f>IF(ISNUMBER(BA14/AZ14),BA14/AZ14," - ")</f>
        <v>1.097427652733119</v>
      </c>
      <c r="BE14" s="220">
        <f>IF(ISNUMBER(BB14/BA14),BB14/BA14, " - ")</f>
        <v>0.35760328157046589</v>
      </c>
      <c r="BF14" s="220">
        <f>IF(ISNUMBER(BC14/BA14),BC14/BA14, " - ")</f>
        <v>0.4201582185760328</v>
      </c>
      <c r="BG14" s="221">
        <f>IF(ISNUMBER((AY14+AZ14)/BA14),(AY14+AZ14)/BA14," - ")</f>
        <v>1.3665397011426896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1161</v>
      </c>
      <c r="J16" s="196">
        <v>3948</v>
      </c>
      <c r="K16" s="196">
        <v>4148</v>
      </c>
      <c r="L16" s="196">
        <v>987</v>
      </c>
      <c r="M16" s="196">
        <v>808</v>
      </c>
      <c r="N16" s="196">
        <v>2174</v>
      </c>
      <c r="O16" s="194">
        <v>135</v>
      </c>
      <c r="P16" s="196">
        <v>252</v>
      </c>
      <c r="Q16" s="196">
        <v>287</v>
      </c>
      <c r="R16" s="196">
        <v>308</v>
      </c>
      <c r="S16" s="196">
        <v>1509</v>
      </c>
      <c r="T16" s="196">
        <v>3864</v>
      </c>
      <c r="U16" s="196">
        <v>4212</v>
      </c>
      <c r="V16" s="196">
        <v>1161</v>
      </c>
      <c r="W16" s="196">
        <v>790</v>
      </c>
      <c r="X16" s="202">
        <v>2443</v>
      </c>
      <c r="Y16" s="215">
        <v>0</v>
      </c>
      <c r="Z16" s="196">
        <v>0</v>
      </c>
      <c r="AA16" s="196">
        <v>0</v>
      </c>
      <c r="AB16" s="196">
        <v>0</v>
      </c>
      <c r="AC16" s="196">
        <v>0</v>
      </c>
      <c r="AD16" s="196">
        <v>0</v>
      </c>
      <c r="AE16" s="196">
        <v>0</v>
      </c>
      <c r="AF16" s="202">
        <v>0</v>
      </c>
      <c r="AG16" s="215">
        <v>0</v>
      </c>
      <c r="AH16" s="196">
        <v>0</v>
      </c>
      <c r="AI16" s="196">
        <v>0</v>
      </c>
      <c r="AJ16" s="216">
        <v>0</v>
      </c>
      <c r="AK16" s="195">
        <v>0</v>
      </c>
      <c r="AL16" s="196">
        <v>9</v>
      </c>
      <c r="AM16" s="196">
        <v>9</v>
      </c>
      <c r="AN16" s="202">
        <v>0</v>
      </c>
      <c r="AO16" s="283">
        <v>3</v>
      </c>
      <c r="AP16" s="168">
        <v>3</v>
      </c>
      <c r="AQ16" s="168">
        <v>3</v>
      </c>
      <c r="AR16" s="168">
        <v>3</v>
      </c>
      <c r="AS16" s="381" t="s">
        <v>697</v>
      </c>
      <c r="AT16" s="216" t="s">
        <v>420</v>
      </c>
      <c r="AU16" s="215"/>
      <c r="AV16" s="216"/>
      <c r="AW16" s="215"/>
      <c r="AX16" s="216"/>
      <c r="AY16" s="138">
        <f t="shared" ref="AY16:BB17" si="10">IF(ISNUMBER(IF(D_I="SI",S16,S16+AK16)),IF(D_I="SI",S16,S16+AK16)," - ")</f>
        <v>1509</v>
      </c>
      <c r="AZ16" s="139">
        <f t="shared" si="10"/>
        <v>3864</v>
      </c>
      <c r="BA16" s="139">
        <f t="shared" si="10"/>
        <v>4212</v>
      </c>
      <c r="BB16" s="139">
        <f t="shared" si="10"/>
        <v>1161</v>
      </c>
      <c r="BC16" s="135">
        <f>IF(ISNUMBER(W16),W16," - ")</f>
        <v>790</v>
      </c>
      <c r="BD16" s="136">
        <f>IF(ISNUMBER(BA16/AZ16),BA16/AZ16," - ")</f>
        <v>1.0900621118012421</v>
      </c>
      <c r="BE16" s="137">
        <f>IF(ISNUMBER(BB16/BA16),BB16/BA16, " - ")</f>
        <v>0.27564102564102566</v>
      </c>
      <c r="BF16" s="137">
        <f>IF(ISNUMBER(BC16/BA16),BC16/BA16, " - ")</f>
        <v>0.18755935422602088</v>
      </c>
      <c r="BG16" s="209">
        <f t="shared" ref="BG16:BG22" si="11">IF(ISNUMBER((AY16+AZ16)/BA16),(AY16+AZ16)/BA16," - ")</f>
        <v>1.2756410256410255</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56</v>
      </c>
      <c r="J18" s="196">
        <v>317</v>
      </c>
      <c r="K18" s="196">
        <v>329</v>
      </c>
      <c r="L18" s="196">
        <v>41</v>
      </c>
      <c r="M18" s="196">
        <v>68</v>
      </c>
      <c r="N18" s="196">
        <v>144</v>
      </c>
      <c r="O18" s="196">
        <v>3</v>
      </c>
      <c r="P18" s="196">
        <v>5</v>
      </c>
      <c r="Q18" s="196">
        <v>6</v>
      </c>
      <c r="R18" s="196">
        <v>2</v>
      </c>
      <c r="S18" s="196">
        <v>59</v>
      </c>
      <c r="T18" s="196">
        <v>321</v>
      </c>
      <c r="U18" s="196">
        <v>324</v>
      </c>
      <c r="V18" s="196">
        <v>56</v>
      </c>
      <c r="W18" s="196">
        <v>85</v>
      </c>
      <c r="X18" s="202">
        <v>146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59</v>
      </c>
      <c r="AZ18" s="139">
        <f t="shared" si="15"/>
        <v>321</v>
      </c>
      <c r="BA18" s="139">
        <f t="shared" si="15"/>
        <v>324</v>
      </c>
      <c r="BB18" s="139">
        <f t="shared" si="15"/>
        <v>56</v>
      </c>
      <c r="BC18" s="135">
        <f>IF(ISNUMBER(W18),W18," - ")</f>
        <v>85</v>
      </c>
      <c r="BD18" s="136">
        <f>IF(ISNUMBER(BA18/AZ18),BA18/AZ18," - ")</f>
        <v>1.0093457943925233</v>
      </c>
      <c r="BE18" s="137">
        <f>IF(ISNUMBER(BB18/BA18),BB18/BA18, " - ")</f>
        <v>0.1728395061728395</v>
      </c>
      <c r="BF18" s="137">
        <f>IF(ISNUMBER(BC18/BA18),BC18/BA18, " - ")</f>
        <v>0.26234567901234568</v>
      </c>
      <c r="BG18" s="209">
        <f>IF(ISNUMBER((AY18+AZ18)/BA18),(AY18+AZ18)/BA18," - ")</f>
        <v>1.1728395061728396</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1217</v>
      </c>
      <c r="J23" s="197">
        <f t="shared" si="21"/>
        <v>4265</v>
      </c>
      <c r="K23" s="197">
        <f t="shared" si="21"/>
        <v>4477</v>
      </c>
      <c r="L23" s="197">
        <f t="shared" si="21"/>
        <v>1028</v>
      </c>
      <c r="M23" s="197">
        <f t="shared" si="21"/>
        <v>876</v>
      </c>
      <c r="N23" s="197">
        <f t="shared" si="21"/>
        <v>2318</v>
      </c>
      <c r="O23" s="197">
        <f t="shared" si="21"/>
        <v>138</v>
      </c>
      <c r="P23" s="197">
        <f t="shared" si="21"/>
        <v>257</v>
      </c>
      <c r="Q23" s="197">
        <f t="shared" si="21"/>
        <v>293</v>
      </c>
      <c r="R23" s="197">
        <f t="shared" si="21"/>
        <v>310</v>
      </c>
      <c r="S23" s="197">
        <f t="shared" si="21"/>
        <v>1568</v>
      </c>
      <c r="T23" s="197">
        <f t="shared" si="21"/>
        <v>4185</v>
      </c>
      <c r="U23" s="197">
        <f t="shared" si="21"/>
        <v>4536</v>
      </c>
      <c r="V23" s="197">
        <f t="shared" si="21"/>
        <v>1217</v>
      </c>
      <c r="W23" s="197">
        <f t="shared" si="21"/>
        <v>875</v>
      </c>
      <c r="X23" s="197">
        <f t="shared" si="21"/>
        <v>2589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9</v>
      </c>
      <c r="AM23" s="197">
        <f t="shared" si="21"/>
        <v>9</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1568</v>
      </c>
      <c r="AZ23" s="197">
        <f>SUBTOTAL(9,AZ15:AZ22)</f>
        <v>4185</v>
      </c>
      <c r="BA23" s="197">
        <f>SUBTOTAL(9,BA15:BA22)</f>
        <v>4536</v>
      </c>
      <c r="BB23" s="197">
        <f>SUBTOTAL(9,BB15:BB22)</f>
        <v>1217</v>
      </c>
      <c r="BC23" s="197">
        <f>SUBTOTAL(9,BC15:BC22)</f>
        <v>875</v>
      </c>
      <c r="BD23" s="219">
        <f>IF(ISNUMBER(BA23/AZ23),BA23/AZ23," - ")</f>
        <v>1.0838709677419356</v>
      </c>
      <c r="BE23" s="220">
        <f>IF(ISNUMBER(BB23/BA23),BB23/BA23, " - ")</f>
        <v>0.26829805996472661</v>
      </c>
      <c r="BF23" s="220">
        <f>IF(ISNUMBER(BC23/BA23),BC23/BA23, " - ")</f>
        <v>0.19290123456790123</v>
      </c>
      <c r="BG23" s="221">
        <f>IF(ISNUMBER((AY23+AZ23)/BA23),(AY23+AZ23)/BA23," - ")</f>
        <v>1.2682980599647267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3487</v>
      </c>
      <c r="J31" s="144">
        <f t="shared" si="36"/>
        <v>9764</v>
      </c>
      <c r="K31" s="144">
        <f t="shared" si="36"/>
        <v>9602</v>
      </c>
      <c r="L31" s="144">
        <f t="shared" si="36"/>
        <v>3595</v>
      </c>
      <c r="M31" s="144">
        <f t="shared" si="36"/>
        <v>2270</v>
      </c>
      <c r="N31" s="144">
        <f t="shared" si="36"/>
        <v>5144</v>
      </c>
      <c r="O31" s="144">
        <f t="shared" si="36"/>
        <v>2706</v>
      </c>
      <c r="P31" s="144">
        <f t="shared" si="36"/>
        <v>1685</v>
      </c>
      <c r="Q31" s="144">
        <f t="shared" si="36"/>
        <v>2479</v>
      </c>
      <c r="R31" s="144">
        <f t="shared" si="36"/>
        <v>4824</v>
      </c>
      <c r="S31" s="144">
        <f t="shared" si="36"/>
        <v>4529</v>
      </c>
      <c r="T31" s="144">
        <f t="shared" si="36"/>
        <v>9372</v>
      </c>
      <c r="U31" s="144">
        <f t="shared" si="36"/>
        <v>10311</v>
      </c>
      <c r="V31" s="144">
        <f t="shared" si="36"/>
        <v>3487</v>
      </c>
      <c r="W31" s="144">
        <f t="shared" si="36"/>
        <v>2527</v>
      </c>
      <c r="X31" s="144">
        <f t="shared" si="36"/>
        <v>5462</v>
      </c>
      <c r="Y31" s="144">
        <f t="shared" si="36"/>
        <v>171</v>
      </c>
      <c r="Z31" s="144">
        <f t="shared" si="36"/>
        <v>1202</v>
      </c>
      <c r="AA31" s="144">
        <f t="shared" si="36"/>
        <v>1259</v>
      </c>
      <c r="AB31" s="144">
        <f t="shared" si="36"/>
        <v>179</v>
      </c>
      <c r="AC31" s="144">
        <f t="shared" si="36"/>
        <v>0</v>
      </c>
      <c r="AD31" s="144">
        <f t="shared" si="36"/>
        <v>0</v>
      </c>
      <c r="AE31" s="144">
        <f t="shared" si="36"/>
        <v>0</v>
      </c>
      <c r="AF31" s="144">
        <f t="shared" si="36"/>
        <v>0</v>
      </c>
      <c r="AG31" s="144">
        <f t="shared" si="36"/>
        <v>147</v>
      </c>
      <c r="AH31" s="144">
        <f t="shared" si="36"/>
        <v>1033</v>
      </c>
      <c r="AI31" s="144">
        <f t="shared" si="36"/>
        <v>1051</v>
      </c>
      <c r="AJ31" s="144">
        <f t="shared" si="36"/>
        <v>171</v>
      </c>
      <c r="AK31" s="144">
        <f t="shared" si="36"/>
        <v>0</v>
      </c>
      <c r="AL31" s="144">
        <f t="shared" si="36"/>
        <v>9</v>
      </c>
      <c r="AM31" s="144">
        <f t="shared" si="36"/>
        <v>9</v>
      </c>
      <c r="AN31" s="224">
        <f t="shared" si="36"/>
        <v>0</v>
      </c>
      <c r="AO31" s="225">
        <v>9</v>
      </c>
      <c r="AP31" s="225">
        <v>8</v>
      </c>
      <c r="AQ31" s="225">
        <v>8</v>
      </c>
      <c r="AR31" s="225">
        <v>8</v>
      </c>
      <c r="AS31" s="166">
        <f t="shared" si="36"/>
        <v>0</v>
      </c>
      <c r="AT31" s="166">
        <f t="shared" si="36"/>
        <v>0</v>
      </c>
      <c r="AU31" s="225"/>
      <c r="AV31" s="226"/>
      <c r="AW31" s="225"/>
      <c r="AX31" s="226"/>
      <c r="AY31" s="143">
        <f>SUBTOTAL(9,AY9:AY30)</f>
        <v>4676</v>
      </c>
      <c r="AZ31" s="144">
        <f>SUBTOTAL(9,AZ9:AZ30)</f>
        <v>10405</v>
      </c>
      <c r="BA31" s="144">
        <f>SUBTOTAL(9,BA9:BA30)</f>
        <v>11362</v>
      </c>
      <c r="BB31" s="144">
        <f>SUBTOTAL(9,BB9:BB30)</f>
        <v>3658</v>
      </c>
      <c r="BC31" s="145">
        <f>SUBTOTAL(9,BC9:BC30)</f>
        <v>3743</v>
      </c>
      <c r="BD31" s="227">
        <f>IF(ISNUMBER(BA31/AZ31),BA31/AZ31," - ")</f>
        <v>1.091975012013455</v>
      </c>
      <c r="BE31" s="224">
        <f>IF(ISNUMBER(BB31/BA31),BB31/BA31, " - ")</f>
        <v>0.32195036085196266</v>
      </c>
      <c r="BF31" s="224">
        <f>IF(ISNUMBER(BC31/BA31),BC31/BA31, " - ")</f>
        <v>0.3294314381270903</v>
      </c>
      <c r="BG31" s="145">
        <f>IF(ISNUMBER((AY31+AZ31)/BA31),(AY31+AZ31)/BA31," - ")</f>
        <v>1.3273191339552897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43xHWDVv0BGetK9ZQMyc4s+OEhJUVXHVH5LIAqc14t2Hj+K9taBBIVPLRJ5f1651EirXXi1L5iQlQGdo+hpOw==" saltValue="k14nQoYNPUeSjiFXw1zQ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498</v>
      </c>
      <c r="BN5" s="1630"/>
      <c r="BO5" s="1631"/>
      <c r="BP5" s="1630"/>
      <c r="BQ5" s="1631"/>
      <c r="BR5" s="1630"/>
      <c r="BS5" s="1631"/>
      <c r="BT5" s="1630"/>
      <c r="BU5" s="1631"/>
      <c r="BV5" s="1807" t="s">
        <v>345</v>
      </c>
      <c r="BW5" s="1876" t="s">
        <v>323</v>
      </c>
      <c r="BX5" s="1876"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598</v>
      </c>
      <c r="CL5" s="1774" t="s">
        <v>599</v>
      </c>
      <c r="CM5" s="1774" t="s">
        <v>600</v>
      </c>
      <c r="CN5" s="1858" t="s">
        <v>480</v>
      </c>
      <c r="CO5" s="1858" t="s">
        <v>473</v>
      </c>
      <c r="CP5" s="1858" t="s">
        <v>479</v>
      </c>
      <c r="CQ5" s="1873" t="s">
        <v>478</v>
      </c>
      <c r="CR5" s="1873" t="s">
        <v>61</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638</v>
      </c>
      <c r="DM5" s="1777" t="s">
        <v>709</v>
      </c>
      <c r="DN5" s="1777" t="s">
        <v>710</v>
      </c>
      <c r="DO5" s="1777" t="s">
        <v>711</v>
      </c>
      <c r="DP5" s="1777" t="s">
        <v>712</v>
      </c>
      <c r="DQ5" s="1777" t="s">
        <v>713</v>
      </c>
      <c r="DR5" s="1777" t="s">
        <v>714</v>
      </c>
      <c r="DS5" s="1777" t="s">
        <v>715</v>
      </c>
      <c r="DT5" s="1777" t="s">
        <v>716</v>
      </c>
      <c r="DU5" s="1756" t="s">
        <v>717</v>
      </c>
      <c r="DV5" s="1756" t="s">
        <v>718</v>
      </c>
      <c r="DW5" s="1753" t="s">
        <v>719</v>
      </c>
      <c r="DX5" s="1777" t="s">
        <v>720</v>
      </c>
      <c r="DY5" s="1750" t="s">
        <v>721</v>
      </c>
      <c r="DZ5" s="1753" t="s">
        <v>722</v>
      </c>
      <c r="EA5" s="1750" t="s">
        <v>723</v>
      </c>
      <c r="EB5" s="1784" t="s">
        <v>783</v>
      </c>
      <c r="EC5" s="1784" t="s">
        <v>820</v>
      </c>
      <c r="ED5" s="1784" t="s">
        <v>785</v>
      </c>
      <c r="EE5" s="1784" t="s">
        <v>825</v>
      </c>
      <c r="EF5" s="1784" t="s">
        <v>826</v>
      </c>
      <c r="EG5" s="1750" t="s">
        <v>827</v>
      </c>
      <c r="EH5" s="1750" t="s">
        <v>828</v>
      </c>
      <c r="EI5" s="1750" t="s">
        <v>787</v>
      </c>
      <c r="EJ5" s="1750" t="s">
        <v>788</v>
      </c>
      <c r="EK5" s="1879" t="s">
        <v>876</v>
      </c>
      <c r="EL5" s="1768" t="s">
        <v>894</v>
      </c>
      <c r="EM5" s="1769"/>
      <c r="EN5" s="1770"/>
      <c r="EO5" s="1762" t="s">
        <v>994</v>
      </c>
      <c r="EP5" s="1762" t="s">
        <v>996</v>
      </c>
      <c r="EQ5" s="1762" t="s">
        <v>997</v>
      </c>
      <c r="ER5" s="1762" t="s">
        <v>1002</v>
      </c>
      <c r="ES5" s="1762" t="s">
        <v>1012</v>
      </c>
      <c r="ET5" s="1759" t="s">
        <v>1097</v>
      </c>
      <c r="EU5" s="1759" t="s">
        <v>1098</v>
      </c>
      <c r="EV5" s="1790" t="s">
        <v>1119</v>
      </c>
      <c r="EW5" s="1750" t="s">
        <v>1122</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993</v>
      </c>
      <c r="B7" s="1821"/>
      <c r="C7" s="1824"/>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895</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1099</v>
      </c>
      <c r="EU8" s="1519" t="s">
        <v>1100</v>
      </c>
      <c r="EV8" s="1519" t="s">
        <v>1108</v>
      </c>
      <c r="EW8" s="532" t="s">
        <v>1121</v>
      </c>
      <c r="EX8" s="532" t="s">
        <v>1160</v>
      </c>
      <c r="EY8" s="532" t="s">
        <v>1174</v>
      </c>
    </row>
    <row r="9" spans="1:155" s="788" customFormat="1" ht="14.25" customHeight="1">
      <c r="A9" s="823" t="s">
        <v>72</v>
      </c>
      <c r="B9" s="770" t="s">
        <v>515</v>
      </c>
      <c r="C9" s="771" t="s">
        <v>8</v>
      </c>
      <c r="D9" s="772" t="s">
        <v>25</v>
      </c>
      <c r="E9" s="770" t="s">
        <v>26</v>
      </c>
      <c r="F9" s="770">
        <v>32</v>
      </c>
      <c r="G9" s="773"/>
      <c r="H9" s="824" t="s">
        <v>316</v>
      </c>
      <c r="I9" s="825" t="s">
        <v>1164</v>
      </c>
      <c r="J9" s="775" t="s">
        <v>1166</v>
      </c>
      <c r="K9" s="775" t="s">
        <v>1168</v>
      </c>
      <c r="L9" s="775" t="s">
        <v>1170</v>
      </c>
      <c r="M9" s="775" t="s">
        <v>1172</v>
      </c>
      <c r="N9" s="775" t="s">
        <v>1173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1071</v>
      </c>
      <c r="AT9" s="832"/>
      <c r="AU9" s="831" t="s">
        <v>1082</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1139</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1148</v>
      </c>
      <c r="CR9" s="836" t="s">
        <v>641</v>
      </c>
      <c r="CS9" s="530"/>
      <c r="CT9" s="530"/>
      <c r="CU9" s="530"/>
      <c r="CV9" s="530" t="s">
        <v>663</v>
      </c>
      <c r="CW9" s="530" t="s">
        <v>528</v>
      </c>
      <c r="CX9" s="530" t="s">
        <v>450</v>
      </c>
      <c r="CY9" s="530" t="s">
        <v>572</v>
      </c>
      <c r="CZ9" s="530" t="s">
        <v>573</v>
      </c>
      <c r="DA9" s="530" t="s">
        <v>574</v>
      </c>
      <c r="DB9" s="831" t="s">
        <v>1072</v>
      </c>
      <c r="DC9" s="831" t="s">
        <v>1073</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1134</v>
      </c>
      <c r="EP9" s="1318" t="s">
        <v>1155</v>
      </c>
      <c r="EQ9" s="1318" t="s">
        <v>1156</v>
      </c>
      <c r="ER9" s="1337">
        <v>1200</v>
      </c>
      <c r="ES9" s="1331"/>
      <c r="ET9" s="1520"/>
      <c r="EU9" s="1520"/>
      <c r="EV9" s="530" t="s">
        <v>1111</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1113</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1079</v>
      </c>
      <c r="J11" s="350" t="s">
        <v>1074</v>
      </c>
      <c r="K11" s="350" t="s">
        <v>1141</v>
      </c>
      <c r="L11" s="350" t="s">
        <v>1085</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1075</v>
      </c>
      <c r="AT11" s="778"/>
      <c r="AU11" s="777" t="s">
        <v>1083</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1150</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1152</v>
      </c>
      <c r="CR11" s="530" t="s">
        <v>1151</v>
      </c>
      <c r="CS11" s="790"/>
      <c r="CT11" s="530"/>
      <c r="CU11" s="530"/>
      <c r="CV11" s="530" t="s">
        <v>663</v>
      </c>
      <c r="CW11" s="530" t="s">
        <v>435</v>
      </c>
      <c r="CX11" s="530" t="s">
        <v>450</v>
      </c>
      <c r="CY11" s="530" t="s">
        <v>572</v>
      </c>
      <c r="CZ11" s="530" t="s">
        <v>573</v>
      </c>
      <c r="DA11" s="530" t="s">
        <v>574</v>
      </c>
      <c r="DB11" s="363" t="s">
        <v>1076</v>
      </c>
      <c r="DC11" s="363" t="s">
        <v>1077</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1137</v>
      </c>
      <c r="EP11" s="1364" t="s">
        <v>1153</v>
      </c>
      <c r="EQ11" s="1364" t="s">
        <v>1154</v>
      </c>
      <c r="ER11" s="1339">
        <v>1323</v>
      </c>
      <c r="ES11" s="1332"/>
      <c r="ET11" s="1520"/>
      <c r="EU11" s="1520"/>
      <c r="EV11" s="530" t="s">
        <v>1110</v>
      </c>
      <c r="EW11" s="836"/>
      <c r="EX11" s="836"/>
      <c r="EY11" s="836"/>
    </row>
    <row r="12" spans="1:155" s="788" customFormat="1" ht="14.25" customHeight="1">
      <c r="A12" s="823" t="s">
        <v>517</v>
      </c>
      <c r="B12" s="770" t="s">
        <v>515</v>
      </c>
      <c r="C12" s="771" t="s">
        <v>8</v>
      </c>
      <c r="D12" s="772" t="s">
        <v>25</v>
      </c>
      <c r="E12" s="770" t="s">
        <v>25</v>
      </c>
      <c r="F12" s="770">
        <v>31</v>
      </c>
      <c r="G12" s="773"/>
      <c r="H12" s="839"/>
      <c r="I12" s="351" t="s">
        <v>1165</v>
      </c>
      <c r="J12" s="350" t="s">
        <v>1167</v>
      </c>
      <c r="K12" s="350" t="s">
        <v>1169</v>
      </c>
      <c r="L12" s="350" t="s">
        <v>1171</v>
      </c>
      <c r="M12" s="350" t="s">
        <v>1163</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1089</v>
      </c>
      <c r="AT12" s="778"/>
      <c r="AU12" s="777" t="s">
        <v>1080</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1138</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1149</v>
      </c>
      <c r="CR12" s="836"/>
      <c r="CS12" s="790"/>
      <c r="CT12" s="530"/>
      <c r="CU12" s="530"/>
      <c r="CV12" s="530" t="s">
        <v>663</v>
      </c>
      <c r="CW12" s="530" t="s">
        <v>435</v>
      </c>
      <c r="CX12" s="530" t="s">
        <v>450</v>
      </c>
      <c r="CY12" s="530" t="s">
        <v>572</v>
      </c>
      <c r="CZ12" s="530" t="s">
        <v>573</v>
      </c>
      <c r="DA12" s="530" t="s">
        <v>574</v>
      </c>
      <c r="DB12" s="831" t="s">
        <v>1090</v>
      </c>
      <c r="DC12" s="831" t="s">
        <v>1091</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1136</v>
      </c>
      <c r="EP12" s="1318" t="s">
        <v>1157</v>
      </c>
      <c r="EQ12" s="1318" t="s">
        <v>1158</v>
      </c>
      <c r="ER12" s="1337">
        <v>680</v>
      </c>
      <c r="ES12" s="1333"/>
      <c r="ET12" s="1520"/>
      <c r="EU12" s="1520"/>
      <c r="EV12" s="530" t="s">
        <v>1110</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1127</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1128</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1078</v>
      </c>
      <c r="EP16" s="1317" t="s">
        <v>1081</v>
      </c>
      <c r="EQ16" s="1317" t="s">
        <v>1088</v>
      </c>
      <c r="ER16" s="1341" t="s">
        <v>1034</v>
      </c>
      <c r="ES16" s="1332"/>
      <c r="ET16" s="1520"/>
      <c r="EU16" s="1520"/>
      <c r="EV16" s="530" t="s">
        <v>1109</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1109</v>
      </c>
      <c r="EW17" s="168"/>
      <c r="EX17" s="168"/>
      <c r="EY17" s="168"/>
    </row>
    <row r="18" spans="1:155" ht="14.25" customHeight="1">
      <c r="A18" s="7" t="s">
        <v>184</v>
      </c>
      <c r="B18" s="21" t="s">
        <v>515</v>
      </c>
      <c r="C18" s="22" t="s">
        <v>8</v>
      </c>
      <c r="D18" s="23" t="s">
        <v>114</v>
      </c>
      <c r="E18" s="21" t="s">
        <v>114</v>
      </c>
      <c r="F18" s="21" t="s">
        <v>179</v>
      </c>
      <c r="G18" s="6"/>
      <c r="H18" s="24"/>
      <c r="I18" s="25" t="s">
        <v>185</v>
      </c>
      <c r="J18" s="26" t="s">
        <v>1103</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1112</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1092</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1114</v>
      </c>
      <c r="EW19" s="168"/>
      <c r="EX19" s="168"/>
      <c r="EY19" s="168" t="s">
        <v>1176</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1116</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1123</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1140</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1118</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Rp3Y5BPU2h9GbrZw8X9LcxxrXGHJ5tF8DYfUIZZFzElrq5LLz73sb/G3FkjYmxlW5MZAHfAv3M29WfmeS9Kxg==" saltValue="DlFFCum4Tba+wyYYROLzX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PONTEVEDRA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461</v>
      </c>
      <c r="B5" s="297"/>
      <c r="C5" s="1912" t="str">
        <f>"Año:  " &amp;Criterios!B$5 &amp; "          Trimestre   " &amp;Criterios!D$5 &amp; " al " &amp;Criterios!D$6</f>
        <v>Año:  2022          Trimestre   1 al 4</v>
      </c>
      <c r="D5" s="1885" t="s">
        <v>487</v>
      </c>
      <c r="E5" s="1885" t="s">
        <v>752</v>
      </c>
      <c r="F5" s="1914" t="s">
        <v>523</v>
      </c>
      <c r="G5" s="1885" t="s">
        <v>173</v>
      </c>
      <c r="H5" s="1885" t="s">
        <v>785</v>
      </c>
      <c r="I5" s="1885" t="s">
        <v>753</v>
      </c>
      <c r="J5" s="1885" t="s">
        <v>870</v>
      </c>
      <c r="K5" s="1885" t="s">
        <v>871</v>
      </c>
      <c r="L5" s="1885" t="s">
        <v>754</v>
      </c>
      <c r="M5" s="1885" t="s">
        <v>709</v>
      </c>
      <c r="N5" s="1885" t="s">
        <v>872</v>
      </c>
      <c r="O5" s="1917" t="s">
        <v>783</v>
      </c>
      <c r="P5" s="1885" t="s">
        <v>892</v>
      </c>
      <c r="Q5" s="1885" t="s">
        <v>886</v>
      </c>
      <c r="R5" s="1885" t="s">
        <v>225</v>
      </c>
      <c r="S5" s="1920" t="s">
        <v>882</v>
      </c>
      <c r="T5" s="1920" t="s">
        <v>885</v>
      </c>
      <c r="U5" s="1885" t="s">
        <v>786</v>
      </c>
      <c r="V5" s="1920" t="s">
        <v>755</v>
      </c>
      <c r="W5" s="1885" t="s">
        <v>1038</v>
      </c>
      <c r="X5" s="1885" t="s">
        <v>1039</v>
      </c>
      <c r="Y5" s="1888" t="s">
        <v>873</v>
      </c>
      <c r="Z5" s="1903" t="s">
        <v>811</v>
      </c>
      <c r="AA5" s="1906" t="s">
        <v>756</v>
      </c>
      <c r="AB5" s="1903" t="s">
        <v>757</v>
      </c>
      <c r="AC5" s="1903" t="s">
        <v>758</v>
      </c>
      <c r="AD5" s="1882" t="s">
        <v>874</v>
      </c>
      <c r="AE5" s="1882" t="s">
        <v>1066</v>
      </c>
      <c r="AF5" s="1885" t="s">
        <v>887</v>
      </c>
      <c r="AG5" s="1885" t="s">
        <v>710</v>
      </c>
      <c r="AH5" s="1885" t="s">
        <v>875</v>
      </c>
      <c r="AI5" s="1885" t="s">
        <v>236</v>
      </c>
      <c r="AJ5" s="1885" t="s">
        <v>942</v>
      </c>
      <c r="AK5" s="1885" t="s">
        <v>711</v>
      </c>
      <c r="AL5" s="1885" t="s">
        <v>712</v>
      </c>
      <c r="AM5" s="1885" t="s">
        <v>893</v>
      </c>
      <c r="AN5" s="1885" t="s">
        <v>713</v>
      </c>
      <c r="AO5" s="1885" t="s">
        <v>714</v>
      </c>
      <c r="AP5" s="1885" t="s">
        <v>715</v>
      </c>
      <c r="AQ5" s="1885" t="s">
        <v>716</v>
      </c>
      <c r="AR5" s="1885" t="s">
        <v>876</v>
      </c>
      <c r="AS5" s="1885" t="s">
        <v>239</v>
      </c>
      <c r="AT5" s="1891" t="s">
        <v>237</v>
      </c>
      <c r="AU5" s="1885" t="s">
        <v>888</v>
      </c>
      <c r="AV5" s="1894" t="s">
        <v>889</v>
      </c>
      <c r="AW5" s="1897" t="s">
        <v>718</v>
      </c>
      <c r="AX5" s="1885" t="s">
        <v>719</v>
      </c>
      <c r="AY5" s="1885" t="s">
        <v>809</v>
      </c>
      <c r="AZ5" s="1900" t="s">
        <v>810</v>
      </c>
      <c r="BA5" s="1885" t="s">
        <v>760</v>
      </c>
      <c r="BB5" s="1894" t="s">
        <v>761</v>
      </c>
      <c r="BC5" s="1897" t="s">
        <v>240</v>
      </c>
      <c r="BD5" s="1885" t="s">
        <v>762</v>
      </c>
      <c r="BE5" s="1885" t="s">
        <v>318</v>
      </c>
      <c r="BF5" s="1885" t="s">
        <v>319</v>
      </c>
      <c r="BG5" s="1885" t="s">
        <v>320</v>
      </c>
      <c r="BH5" s="1885" t="s">
        <v>763</v>
      </c>
      <c r="BI5" s="1885" t="s">
        <v>321</v>
      </c>
      <c r="BJ5" s="1885" t="s">
        <v>764</v>
      </c>
      <c r="BK5" s="1885" t="s">
        <v>779</v>
      </c>
      <c r="BL5" s="1885" t="s">
        <v>765</v>
      </c>
      <c r="BM5" s="1885" t="s">
        <v>766</v>
      </c>
      <c r="BN5" s="1885" t="s">
        <v>794</v>
      </c>
      <c r="BO5" s="1885" t="s">
        <v>787</v>
      </c>
      <c r="BP5" s="1885" t="s">
        <v>1120</v>
      </c>
      <c r="BQ5" s="1885" t="s">
        <v>1124</v>
      </c>
      <c r="BR5" s="1885" t="s">
        <v>1126</v>
      </c>
      <c r="BS5" s="1885" t="s">
        <v>788</v>
      </c>
      <c r="BT5" s="1885" t="s">
        <v>767</v>
      </c>
      <c r="BU5" s="1885" t="s">
        <v>717</v>
      </c>
      <c r="BV5" s="1909" t="s">
        <v>1040</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317</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338</v>
      </c>
      <c r="O9" s="549"/>
      <c r="P9" s="549"/>
      <c r="Q9" s="547">
        <f>IF(ISNUMBER(Datos!P9),Datos!P9,0)</f>
        <v>1263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1783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57</v>
      </c>
      <c r="AI9" s="549" t="str">
        <f>IF(ISNUMBER(Datos!CD9),Datos!CD9,"-")</f>
        <v>-</v>
      </c>
      <c r="AJ9" s="549" t="str">
        <f>IF(ISNUMBER(Datos!EN9),Datos!EN9," - ")</f>
        <v xml:space="preserve"> - </v>
      </c>
      <c r="AK9" s="549"/>
      <c r="AL9" s="550"/>
      <c r="AM9" s="766">
        <f>IF(ISNUMBER(Datos!R9),Datos!R9," - ")</f>
        <v>3931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1087</v>
      </c>
      <c r="BD9" s="693">
        <f>IF(ISNUMBER(Datos!N9),Datos!N9," - ")</f>
        <v>1840</v>
      </c>
      <c r="BE9" s="693" t="str">
        <f>IF(ISNUMBER(Datos!BW9),Datos!BW9," - ")</f>
        <v xml:space="preserve"> - </v>
      </c>
      <c r="BF9" s="762" t="str">
        <f>IF(ISNUMBER(Datos!BX9),Datos!BX9," - ")</f>
        <v xml:space="preserve"> - </v>
      </c>
      <c r="BG9" s="763">
        <f>IF(ISNUMBER(IF(J_V="SI",Datos!K9/Datos!J9,(Datos!K9+Datos!AA9)/(Datos!J9+Datos!Z9))),IF(J_V="SI",Datos!K9/Datos!J9,(Datos!K9+Datos!AA9)/(Datos!J9+Datos!Z9))," - ")</f>
        <v>0.95010101010101011</v>
      </c>
      <c r="BH9" s="764">
        <f>IF(ISNUMBER(((IF(J_V="SI",Datos!L9/Datos!K9,(Datos!L9+Datos!AB9)/(Datos!K9+Datos!AA9)))*11)/factor_trimestre),((IF(J_V="SI",Datos!L9/Datos!K9,(Datos!L9+Datos!AB9)/(Datos!K9+Datos!AA9)))*11)/factor_trimestre," - ")</f>
        <v>5.1386349138847542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-0.1168276791732195</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31</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53</v>
      </c>
      <c r="AC10" s="547">
        <f>IF(ISNUMBER(Datos!Q10),Datos!Q10," - ")</f>
        <v>13</v>
      </c>
      <c r="AD10" s="549"/>
      <c r="AE10" s="563"/>
      <c r="AF10" s="551">
        <f>IF(ISNUMBER(Datos!L10),Datos!L10,"-")</f>
        <v>35</v>
      </c>
      <c r="AG10" s="549"/>
      <c r="AH10" s="549"/>
      <c r="AI10" s="549"/>
      <c r="AJ10" s="549"/>
      <c r="AK10" s="549"/>
      <c r="AL10" s="550"/>
      <c r="AM10" s="766">
        <f>IF(ISNUMBER(Datos!R10),Datos!R10," - ")</f>
        <v>69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19</v>
      </c>
      <c r="BE10" s="693" t="str">
        <f>IF(ISNUMBER(Datos!BW10),Datos!BW10," - ")</f>
        <v xml:space="preserve"> - </v>
      </c>
      <c r="BF10" s="762" t="str">
        <f>IF(ISNUMBER(Datos!BX10),Datos!BX10," - ")</f>
        <v xml:space="preserve"> - </v>
      </c>
      <c r="BG10" s="763">
        <f>IF(ISNUMBER(Datos!K10/Datos!J10),Datos!K10/Datos!J10," - ")</f>
        <v>0.92982456140350878</v>
      </c>
      <c r="BH10" s="764">
        <f>IF(ISNUMBER(((Datos!L10/Datos!K10)*11)/factor_trimestre),((Datos!L10/Datos!K10)*11)/factor_trimestre," - ")</f>
        <v>7.2641509433962259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6.1538461538461542E-2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863</v>
      </c>
      <c r="O11" s="549"/>
      <c r="P11" s="549"/>
      <c r="Q11" s="547">
        <f>IF(ISNUMBER(Datos!P11),Datos!P11,0)</f>
        <v>148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379</v>
      </c>
      <c r="AD11" s="549"/>
      <c r="AE11" s="563"/>
      <c r="AF11" s="551" t="str">
        <f>IF(ISNUMBER(IF(J_V="SI",Datos!L11,Datos!L11+Datos!AB11)-IF(Monitorios="SI",Datos!CD11,0)),
                          IF(J_V="SI",Datos!L11,Datos!L11+Datos!AB11)-IF(Monitorios="SI",Datos!CD11,0),
                          " - ")</f>
        <v xml:space="preserve"> - </v>
      </c>
      <c r="AG11" s="549"/>
      <c r="AH11" s="549">
        <f>IF(ISNUMBER(Datos!AB11),Datos!AB11,"-")</f>
        <v>122</v>
      </c>
      <c r="AI11" s="549"/>
      <c r="AJ11" s="549"/>
      <c r="AK11" s="549"/>
      <c r="AL11" s="550"/>
      <c r="AM11" s="766">
        <f>IF(ISNUMBER(Datos!R11),Datos!R11," - ")</f>
        <v>356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280</v>
      </c>
      <c r="BD11" s="693">
        <f>IF(ISNUMBER(Datos!N11),Datos!N11," - ")</f>
        <v>963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0.96094674556213022</v>
      </c>
      <c r="BH11" s="764">
        <f>IF(ISNUMBER(((IF(J_V="SI",Datos!L11/Datos!K11,(Datos!L11+Datos!AB11)/(Datos!K11+Datos!AA11)))*11)/factor_trimestre),((IF(J_V="SI",Datos!L11/Datos!K11,(Datos!L11+Datos!AB11)/(Datos!K11+Datos!AA11)))*11)/factor_trimestre," - ")</f>
        <v>3.4747536945812811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-0.39352640545144801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158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2.75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-6.5088757396449703E-2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31</v>
      </c>
      <c r="G14" s="1197">
        <f t="shared" si="1"/>
        <v>34</v>
      </c>
      <c r="H14" s="1198">
        <f t="shared" si="1"/>
        <v>0</v>
      </c>
      <c r="I14" s="1197">
        <f t="shared" si="1"/>
        <v>0</v>
      </c>
      <c r="J14" s="1164">
        <f t="shared" si="1"/>
        <v>0</v>
      </c>
      <c r="K14" s="1164">
        <f t="shared" si="1"/>
        <v>0</v>
      </c>
      <c r="L14" s="1198">
        <f t="shared" si="1"/>
        <v>0</v>
      </c>
      <c r="M14" s="1198">
        <f t="shared" si="1"/>
        <v>0</v>
      </c>
      <c r="N14" s="1198">
        <f t="shared" si="1"/>
        <v>1202</v>
      </c>
      <c r="O14" s="1199">
        <f t="shared" si="1"/>
        <v>0</v>
      </c>
      <c r="P14" s="1199">
        <f t="shared" si="1"/>
        <v>0</v>
      </c>
      <c r="Q14" s="1198">
        <f t="shared" si="1"/>
        <v>1428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53</v>
      </c>
      <c r="AC14" s="1198">
        <f t="shared" si="2"/>
        <v>2186</v>
      </c>
      <c r="AD14" s="1198">
        <f t="shared" si="2"/>
        <v>0</v>
      </c>
      <c r="AE14" s="1198">
        <f t="shared" si="2"/>
        <v>0</v>
      </c>
      <c r="AF14" s="1198">
        <f t="shared" si="2"/>
        <v>35</v>
      </c>
      <c r="AG14" s="1198">
        <f t="shared" si="2"/>
        <v>0</v>
      </c>
      <c r="AH14" s="1198">
        <f t="shared" si="2"/>
        <v>179</v>
      </c>
      <c r="AI14" s="1198">
        <f t="shared" si="2"/>
        <v>0</v>
      </c>
      <c r="AJ14" s="1198">
        <f t="shared" si="2"/>
        <v>0</v>
      </c>
      <c r="AK14" s="1198">
        <f t="shared" si="2"/>
        <v>0</v>
      </c>
      <c r="AL14" s="1198">
        <f t="shared" si="2"/>
        <v>0</v>
      </c>
      <c r="AM14" s="1198">
        <f t="shared" si="2"/>
        <v>4514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1394</v>
      </c>
      <c r="BD14" s="1198">
        <f t="shared" si="2"/>
        <v>2826</v>
      </c>
      <c r="BE14" s="1198">
        <f t="shared" si="2"/>
        <v>0</v>
      </c>
      <c r="BF14" s="1198">
        <f t="shared" si="2"/>
        <v>0</v>
      </c>
      <c r="BG14" s="1198">
        <f>IF(ISNUMBER(Datos!K14/Datos!J14),Datos!K14/Datos!J14," - ")</f>
        <v>0.93198763411529373</v>
      </c>
      <c r="BH14" s="1202">
        <f>IF(ISNUMBER(((Datos!L14/Datos!K14)*11)/factor_trimestre),((Datos!L14/Datos!K14)*11)/factor_trimestre," - ")</f>
        <v>5.5096585365853663</v>
      </c>
      <c r="BI14" s="1198">
        <f>IF(ISNUMBER('Resol  Asuntos'!D14/NºAsuntos!G14),'Resol  Asuntos'!D14/NºAsuntos!G14," - ")</f>
        <v>0.21835839598997495</v>
      </c>
      <c r="BJ14" s="1198" t="str">
        <f>IF(ISNUMBER(Datos!CI14/Datos!CJ14),Datos!CI14/Datos!CJ14," - ")</f>
        <v xml:space="preserve"> - </v>
      </c>
      <c r="BK14" s="1198">
        <f>SUBTOTAL(9,BK8:BK13)</f>
        <v>0</v>
      </c>
      <c r="BL14" s="1198">
        <f>IF(ISNUMBER((I14-AB14+L14)/(F14)),(I14-AB14+L14)/(F14)," - ")</f>
        <v>-1.7096774193548387</v>
      </c>
      <c r="BM14" s="1203">
        <f>SUBTOTAL(9,BM9:BM13)</f>
        <v>-0.51390438048265574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507</v>
      </c>
      <c r="C16" s="749" t="str">
        <f>Datos!A16</f>
        <v xml:space="preserve">Jdos. Instrucción                               </v>
      </c>
      <c r="D16" s="750"/>
      <c r="E16" s="1555">
        <f>IF(ISNUMBER(Datos!AQ16),Datos!AQ16," - ")</f>
        <v>3</v>
      </c>
      <c r="F16" s="740">
        <f>IF(ISNUMBER(AF16+AB16-Datos!J16-L16),AF16+AB16-Datos!J16-L16," - ")</f>
        <v>1187</v>
      </c>
      <c r="G16" s="743">
        <f>IF(ISNUMBER(IF(D_I="SI",Datos!I16,Datos!I16+Datos!AC16)),IF(D_I="SI",Datos!I16,Datos!I16+Datos!AC16)," - ")</f>
        <v>1161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252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4148</v>
      </c>
      <c r="AC16" s="240">
        <f>IF(ISNUMBER(Datos!Q16),Datos!Q16," - ")</f>
        <v>287</v>
      </c>
      <c r="AD16" s="374"/>
      <c r="AE16" s="562"/>
      <c r="AF16" s="741">
        <f>IF(ISNUMBER(IF(D_I="SI",Datos!L16,Datos!L16+Datos!AF16)),IF(D_I="SI",Datos!L16,Datos!L16+Datos!AF16)," - ")</f>
        <v>987</v>
      </c>
      <c r="AG16" s="374"/>
      <c r="AH16" s="374"/>
      <c r="AI16" s="374"/>
      <c r="AJ16" s="549"/>
      <c r="AK16" s="374"/>
      <c r="AL16" s="545"/>
      <c r="AM16" s="375">
        <f>IF(ISNUMBER(Datos!R16),Datos!R16," - ")</f>
        <v>308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808</v>
      </c>
      <c r="BD16" s="243">
        <f>IF(ISNUMBER(Datos!N16),Datos!N16," - ")</f>
        <v>2174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1.0506585612968591</v>
      </c>
      <c r="BH16" s="764">
        <f>IF(ISNUMBER(((IF(D_I="SI",Datos!L16/Datos!K16,(Datos!L16+Datos!AF16)/(Datos!K16+Datos!AE16)))*11)/factor_trimestre),((IF(D_I="SI",Datos!L16/Datos!K16,(Datos!L16+Datos!AF16)/(Datos!K16+Datos!AE16)))*11)/factor_trimestre," - ")</f>
        <v>2.6174059787849564</v>
      </c>
      <c r="BI16" s="266">
        <f>IF(ISNUMBER('Resol  Asuntos'!D16/NºAsuntos!G16),'Resol  Asuntos'!D16/NºAsuntos!G16," - ")</f>
        <v>0.19479267116682739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329</v>
      </c>
      <c r="AC18" s="547">
        <f>IF(ISNUMBER(Datos!Q18),Datos!Q18," - ")</f>
        <v>6</v>
      </c>
      <c r="AD18" s="549"/>
      <c r="AE18" s="562"/>
      <c r="AF18" s="551">
        <f>IF(ISNUMBER(Datos!L18),Datos!L18,"-")</f>
        <v>41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68</v>
      </c>
      <c r="BD18" s="693">
        <f>IF(ISNUMBER(Datos!N18),Datos!N18," - ")</f>
        <v>144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1.0378548895899053</v>
      </c>
      <c r="BH18" s="764">
        <f>IF(ISNUMBER(((IF(D_I="SI",Datos!L18/Datos!K18,(Datos!L18+Datos!AF18)/(Datos!K18+Datos!AE18)))*11)/factor_trimestre),((IF(D_I="SI",Datos!L18/Datos!K18,(Datos!L18+Datos!AF18)/(Datos!K18+Datos!AE18)))*11)/factor_trimestre," - ")</f>
        <v>1.3708206686930091</v>
      </c>
      <c r="BI18" s="763">
        <f>IF(ISNUMBER('Resol  Asuntos'!D18/NºAsuntos!G18),'Resol  Asuntos'!D18/NºAsuntos!G18," - ")</f>
        <v>0.20668693009118541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1187</v>
      </c>
      <c r="G23" s="1197">
        <f>SUBTOTAL(9,G16:G22)</f>
        <v>1217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4477</v>
      </c>
      <c r="AC23" s="1198">
        <f t="shared" si="5"/>
        <v>293</v>
      </c>
      <c r="AD23" s="1198">
        <f t="shared" si="5"/>
        <v>0</v>
      </c>
      <c r="AE23" s="1198">
        <f t="shared" si="5"/>
        <v>0</v>
      </c>
      <c r="AF23" s="1198">
        <f t="shared" si="5"/>
        <v>1028</v>
      </c>
      <c r="AG23" s="1198">
        <f t="shared" si="5"/>
        <v>0</v>
      </c>
      <c r="AH23" s="1198">
        <f t="shared" si="5"/>
        <v>0</v>
      </c>
      <c r="AI23" s="1198">
        <f t="shared" si="5"/>
        <v>0</v>
      </c>
      <c r="AJ23" s="1198">
        <f t="shared" si="5"/>
        <v>0</v>
      </c>
      <c r="AK23" s="1198">
        <f t="shared" si="5"/>
        <v>0</v>
      </c>
      <c r="AL23" s="1198">
        <f t="shared" si="5"/>
        <v>0</v>
      </c>
      <c r="AM23" s="1198">
        <f t="shared" si="5"/>
        <v>310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876</v>
      </c>
      <c r="BD23" s="1198">
        <f t="shared" si="5"/>
        <v>2318</v>
      </c>
      <c r="BE23" s="1198">
        <f t="shared" si="5"/>
        <v>0</v>
      </c>
      <c r="BF23" s="1198">
        <f t="shared" si="5"/>
        <v>0</v>
      </c>
      <c r="BG23" s="1198">
        <f>IF(ISNUMBER(Datos!K23/Datos!J23),Datos!K23/Datos!J23," - ")</f>
        <v>1.0497069167643611</v>
      </c>
      <c r="BH23" s="1202">
        <f>IF(ISNUMBER(((Datos!L23/Datos!K23)*11)/factor_trimestre),((Datos!L23/Datos!K23)*11)/factor_trimestre," - ")</f>
        <v>2.5257985257985256</v>
      </c>
      <c r="BI23" s="1198">
        <f>SUBTOTAL(9,BI16:BI22)</f>
        <v>0.4014796012580128</v>
      </c>
      <c r="BJ23" s="1198">
        <f>SUBTOTAL(9,BJ16:BJ22)</f>
        <v>0</v>
      </c>
      <c r="BK23" s="1198">
        <f>SUBTOTAL(9,BK16:BK22)</f>
        <v>0</v>
      </c>
      <c r="BL23" s="1198">
        <f>IF(ISNUMBER((I23-AB23+L23)/(F23)),(I23-AB23+L23)/(F23)," - ")</f>
        <v>-3.7716933445661329</v>
      </c>
      <c r="BM23" s="1205">
        <f>IF(ISNUMBER((Datos!P23-Datos!Q23)/(Datos!R23-Datos!P23+Datos!Q23)),(Datos!P23-Datos!Q23)/(Datos!R23-Datos!P23+Datos!Q23)," - ")</f>
        <v>-0.10404624277456648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1218</v>
      </c>
      <c r="G31" s="1117">
        <f t="shared" si="18"/>
        <v>1251</v>
      </c>
      <c r="H31" s="1119">
        <f t="shared" si="18"/>
        <v>0</v>
      </c>
      <c r="I31" s="1117">
        <f t="shared" si="18"/>
        <v>0</v>
      </c>
      <c r="J31" s="1119">
        <f t="shared" si="18"/>
        <v>0</v>
      </c>
      <c r="K31" s="1119">
        <f t="shared" si="18"/>
        <v>0</v>
      </c>
      <c r="L31" s="1180">
        <f t="shared" si="18"/>
        <v>0</v>
      </c>
      <c r="M31" s="1180">
        <f t="shared" si="18"/>
        <v>0</v>
      </c>
      <c r="N31" s="1180">
        <f t="shared" si="18"/>
        <v>1202</v>
      </c>
      <c r="O31" s="1180">
        <f t="shared" si="18"/>
        <v>0</v>
      </c>
      <c r="P31" s="1180">
        <f t="shared" si="18"/>
        <v>0</v>
      </c>
      <c r="Q31" s="1119">
        <f t="shared" si="18"/>
        <v>1685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4530</v>
      </c>
      <c r="AC31" s="1118">
        <f t="shared" si="19"/>
        <v>2479</v>
      </c>
      <c r="AD31" s="1118">
        <f t="shared" si="19"/>
        <v>0</v>
      </c>
      <c r="AE31" s="1118">
        <f t="shared" si="19"/>
        <v>0</v>
      </c>
      <c r="AF31" s="1125">
        <f t="shared" si="19"/>
        <v>1063</v>
      </c>
      <c r="AG31" s="1125">
        <f t="shared" si="19"/>
        <v>0</v>
      </c>
      <c r="AH31" s="1125">
        <f t="shared" si="19"/>
        <v>179</v>
      </c>
      <c r="AI31" s="1125">
        <f t="shared" si="19"/>
        <v>0</v>
      </c>
      <c r="AJ31" s="1118">
        <f t="shared" si="19"/>
        <v>0</v>
      </c>
      <c r="AK31" s="1125">
        <f t="shared" si="19"/>
        <v>0</v>
      </c>
      <c r="AL31" s="1125">
        <f t="shared" si="19"/>
        <v>0</v>
      </c>
      <c r="AM31" s="1125">
        <f t="shared" si="19"/>
        <v>4824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2270</v>
      </c>
      <c r="BD31" s="1117">
        <f t="shared" si="19"/>
        <v>5144</v>
      </c>
      <c r="BE31" s="1117">
        <f t="shared" si="19"/>
        <v>0</v>
      </c>
      <c r="BF31" s="1127">
        <f t="shared" si="19"/>
        <v>0</v>
      </c>
      <c r="BG31" s="1223">
        <f>IF(ISNUMBER(Datos!K31/Datos!J31),Datos!K31/Datos!J31," - ")</f>
        <v>0.98340843916427689</v>
      </c>
      <c r="BH31" s="1223">
        <f>IF(ISNUMBER(((Datos!L31/Datos!K31)*11)/factor_trimestre),((Datos!L31/Datos!K31)*11)/factor_trimestre," - ")</f>
        <v>4.1184128306602794</v>
      </c>
      <c r="BI31" s="1103">
        <f>IF(ISNUMBER(Datos!J31/Datos!I31),Datos!J31/Datos!I31," - ")</f>
        <v>2.8001147117866361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-3.7192118226600983</v>
      </c>
      <c r="BM31" s="1188">
        <f>IF(ISNUMBER((Datos!P31-Datos!Q31+R31)/(Datos!R31-Datos!P31+Datos!Q31-R31)),(Datos!P31-Datos!Q31+R31)/(Datos!R31-Datos!P31+Datos!Q31-R31)," - ")</f>
        <v>-0.14133143467426129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1.6077298658784152</v>
      </c>
      <c r="F33" s="673">
        <f>IF(ISNUMBER(STDEV(F8:F30)),STDEV(F8:F30),"-")</f>
        <v>605.11883130505862</v>
      </c>
      <c r="G33" s="674">
        <f>IF(ISNUMBER(STDEV(G8:G30)),STDEV(G8:G30),"-")</f>
        <v>568.6492349251447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2067.0858484257265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534.12836576155655</v>
      </c>
      <c r="BD33" s="673"/>
      <c r="BE33" s="673">
        <f>IF(ISNUMBER(STDEV(BE8:BE30)),STDEV(BE8:BE30),"-")</f>
        <v>0</v>
      </c>
      <c r="BF33" s="678">
        <f>IF(ISNUMBER(STDEV(BF8:BF30)),STDEV(BF8:BF30),"-")</f>
        <v>0</v>
      </c>
      <c r="BG33" s="1052">
        <f>IF(ISNUMBER(STDEV(BG8:BG30)),STDEV(BG8:BG30),"-")</f>
        <v>5.2163289405167255E-2</v>
      </c>
      <c r="BH33" s="1058">
        <f>IF(ISNUMBER(STDEV(BH8:BH30)),STDEV(BH8:BH30),"-")</f>
        <v>1.9580837484215419</v>
      </c>
      <c r="BI33" s="273">
        <f>IF(ISNUMBER(STDEV(BI8:BI30)),STDEV(BI8:BI30),"-")</f>
        <v>9.7907306301960734E-2</v>
      </c>
      <c r="BJ33" s="244" t="str">
        <f>IF(ISNUMBER(BL33/BM33),BL33/BM33," - ")</f>
        <v xml:space="preserve"> - </v>
      </c>
      <c r="BK33" s="709"/>
      <c r="BL33" s="681">
        <f>IF(ISNUMBER(STDEV(BL8:BL30)),STDEV(BL8:BL30),"-")</f>
        <v>1.4580654436315583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U7xEBc6LB6fyLdonzV1I1VpwIBlKUTH+olwEdhvsVuP7y124FSGZ04uCdep1VCFTCjDaNxGP5Kjwuk87jLdFA==" saltValue="qAnnjGftBPR+pNCoWChW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PONTEVEDRA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461</v>
      </c>
      <c r="B5" s="297"/>
      <c r="C5" s="1923" t="str">
        <f>"Año:  " &amp;Criterios!B$5 &amp; "          Trimestre   " &amp;Criterios!D$5 &amp; " al " &amp;Criterios!D$6</f>
        <v>Año:  2022          Trimestre   1 al 4</v>
      </c>
      <c r="D5" s="1925" t="s">
        <v>487</v>
      </c>
      <c r="E5" s="1885" t="s">
        <v>752</v>
      </c>
      <c r="F5" s="1914" t="s">
        <v>523</v>
      </c>
      <c r="G5" s="1885" t="s">
        <v>173</v>
      </c>
      <c r="H5" s="1885" t="s">
        <v>785</v>
      </c>
      <c r="I5" s="1885" t="s">
        <v>753</v>
      </c>
      <c r="J5" s="1885" t="s">
        <v>890</v>
      </c>
      <c r="K5" s="1885" t="s">
        <v>754</v>
      </c>
      <c r="L5" s="1885" t="s">
        <v>783</v>
      </c>
      <c r="M5" s="1885" t="s">
        <v>892</v>
      </c>
      <c r="N5" s="1885" t="s">
        <v>780</v>
      </c>
      <c r="O5" s="1885" t="s">
        <v>814</v>
      </c>
      <c r="P5" s="1920" t="s">
        <v>882</v>
      </c>
      <c r="Q5" s="1920" t="s">
        <v>885</v>
      </c>
      <c r="R5" s="1885" t="s">
        <v>789</v>
      </c>
      <c r="S5" s="1885" t="s">
        <v>755</v>
      </c>
      <c r="T5" s="1885" t="s">
        <v>1038</v>
      </c>
      <c r="U5" s="1885" t="s">
        <v>1039</v>
      </c>
      <c r="V5" s="1888" t="s">
        <v>873</v>
      </c>
      <c r="W5" s="1903" t="s">
        <v>769</v>
      </c>
      <c r="X5" s="1906" t="s">
        <v>770</v>
      </c>
      <c r="Y5" s="1882" t="s">
        <v>790</v>
      </c>
      <c r="Z5" s="1882" t="s">
        <v>815</v>
      </c>
      <c r="AA5" s="1885" t="s">
        <v>759</v>
      </c>
      <c r="AB5" s="1885" t="s">
        <v>771</v>
      </c>
      <c r="AC5" s="1885" t="s">
        <v>772</v>
      </c>
      <c r="AD5" s="1885" t="s">
        <v>712</v>
      </c>
      <c r="AE5" s="1885" t="s">
        <v>893</v>
      </c>
      <c r="AF5" s="1885" t="s">
        <v>239</v>
      </c>
      <c r="AG5" s="1885" t="s">
        <v>773</v>
      </c>
      <c r="AH5" s="1885" t="s">
        <v>760</v>
      </c>
      <c r="AI5" s="1885" t="s">
        <v>761</v>
      </c>
      <c r="AJ5" s="1885" t="s">
        <v>774</v>
      </c>
      <c r="AK5" s="1885" t="s">
        <v>775</v>
      </c>
      <c r="AL5" s="1885" t="s">
        <v>776</v>
      </c>
      <c r="AM5" s="1900" t="s">
        <v>777</v>
      </c>
      <c r="AN5" s="1885" t="s">
        <v>320</v>
      </c>
      <c r="AO5" s="1885" t="s">
        <v>763</v>
      </c>
      <c r="AP5" s="1885" t="s">
        <v>764</v>
      </c>
      <c r="AQ5" s="1885" t="s">
        <v>791</v>
      </c>
      <c r="AR5" s="1885" t="s">
        <v>792</v>
      </c>
      <c r="AS5" s="1885" t="s">
        <v>794</v>
      </c>
      <c r="AT5" s="1885" t="s">
        <v>787</v>
      </c>
      <c r="AU5" s="1885" t="s">
        <v>1120</v>
      </c>
      <c r="AV5" s="1885" t="s">
        <v>432</v>
      </c>
      <c r="AW5" s="1885" t="s">
        <v>778</v>
      </c>
      <c r="AX5" s="1885" t="s">
        <v>717</v>
      </c>
      <c r="BU5" s="1885" t="s">
        <v>1040</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1263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1783</v>
      </c>
      <c r="AA9" s="551" t="str">
        <f>IF(ISNUMBER(IF(J_V="SI",Datos!L9,Datos!L9+Datos!AB9)-IF(Monitorios="SI",Datos!CD9,0)),
                          IF(J_V="SI",Datos!L9,Datos!L9+Datos!AB9)-IF(Monitorios="SI",Datos!CD9,0),
                          " - ")</f>
        <v xml:space="preserve"> - </v>
      </c>
      <c r="AB9" s="549"/>
      <c r="AC9" s="549"/>
      <c r="AD9" s="563"/>
      <c r="AE9" s="563">
        <f>IF(ISNUMBER(Datos!R9),Datos!R9," - ")</f>
        <v>3931</v>
      </c>
      <c r="AF9" s="693" t="str">
        <f>IF(ISNUMBER(Datos!BV9),Datos!BV9," - ")</f>
        <v xml:space="preserve"> - </v>
      </c>
      <c r="AG9" s="552" t="str">
        <f>IF(ISNUMBER(Datos!DV9),Datos!DV9," - ")</f>
        <v xml:space="preserve"> - </v>
      </c>
      <c r="AH9" s="553"/>
      <c r="AI9" s="554"/>
      <c r="AJ9" s="552">
        <f>IF(ISNUMBER(Datos!M9),Datos!M9," - ")</f>
        <v>1087</v>
      </c>
      <c r="AK9" s="693">
        <f>IF(ISNUMBER(Datos!N9),Datos!N9," - ")</f>
        <v>1840</v>
      </c>
      <c r="AL9" s="693" t="str">
        <f>IF(ISNUMBER(Datos!BW9),Datos!BW9," - ")</f>
        <v xml:space="preserve"> - </v>
      </c>
      <c r="AM9" s="762" t="str">
        <f>IF(ISNUMBER(Datos!BX9),Datos!BX9," - ")</f>
        <v xml:space="preserve"> - </v>
      </c>
      <c r="AN9" s="763"/>
      <c r="AO9" s="764">
        <f>IF(ISNUMBER(((NºAsuntos!I9/NºAsuntos!G9)*11)/factor_trimestre),((NºAsuntos!I9/NºAsuntos!G9)*11)/factor_trimestre," - ")</f>
        <v>5.1386349138847542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-0.1168276791732195</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31</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53</v>
      </c>
      <c r="Z10" s="805">
        <f>IF(ISNUMBER(Datos!Q10),Datos!Q10," - ")</f>
        <v>13</v>
      </c>
      <c r="AA10" s="551">
        <f>IF(ISNUMBER(Datos!L10),Datos!L10,"-")</f>
        <v>35</v>
      </c>
      <c r="AB10" s="549"/>
      <c r="AC10" s="549"/>
      <c r="AD10" s="563"/>
      <c r="AE10" s="563">
        <f>IF(ISNUMBER(Datos!R10),Datos!R10," - ")</f>
        <v>69</v>
      </c>
      <c r="AF10" s="693" t="str">
        <f>IF(ISNUMBER(Datos!BV10),Datos!BV10," - ")</f>
        <v xml:space="preserve"> - </v>
      </c>
      <c r="AG10" s="552" t="str">
        <f>IF(ISNUMBER(Datos!DV10),Datos!DV10," - ")</f>
        <v xml:space="preserve"> - </v>
      </c>
      <c r="AH10" s="553"/>
      <c r="AI10" s="554"/>
      <c r="AJ10" s="552">
        <f>IF(ISNUMBER(Datos!M10),Datos!M10," - ")</f>
        <v>27</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7.2641509433962259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6.1538461538461542E-2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148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379</v>
      </c>
      <c r="AA11" s="551" t="str">
        <f>IF(ISNUMBER(IF(J_V="SI",Datos!L11,Datos!L11+Datos!AB11)-IF(Monitorios="SI",Datos!CD11,0)),
                          IF(J_V="SI",Datos!L11,Datos!L11+Datos!AB11)-IF(Monitorios="SI",Datos!CD11,0),
                          " - ")</f>
        <v xml:space="preserve"> - </v>
      </c>
      <c r="AB11" s="549"/>
      <c r="AC11" s="549"/>
      <c r="AD11" s="563"/>
      <c r="AE11" s="563">
        <f>IF(ISNUMBER(Datos!R11),Datos!R11," - ")</f>
        <v>356</v>
      </c>
      <c r="AF11" s="693" t="str">
        <f>IF(ISNUMBER(Datos!BV11),Datos!BV11," - ")</f>
        <v xml:space="preserve"> - </v>
      </c>
      <c r="AG11" s="552" t="str">
        <f>IF(ISNUMBER(Datos!DV11),Datos!DV11," - ")</f>
        <v xml:space="preserve"> - </v>
      </c>
      <c r="AH11" s="553"/>
      <c r="AI11" s="554"/>
      <c r="AJ11" s="552">
        <f>IF(ISNUMBER(Datos!M11),Datos!M11," - ")</f>
        <v>280</v>
      </c>
      <c r="AK11" s="693">
        <f>IF(ISNUMBER(Datos!N11),Datos!N11," - ")</f>
        <v>963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3.4747536945812811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-0.39352640545144801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158</v>
      </c>
      <c r="AF12" s="693" t="str">
        <f>IF(ISNUMBER(Datos!BV12),Datos!BV12," - ")</f>
        <v xml:space="preserve"> - </v>
      </c>
      <c r="AG12" s="552" t="str">
        <f>IF(ISNUMBER(Datos!DV12),Datos!DV12," - ")</f>
        <v xml:space="preserve"> - </v>
      </c>
      <c r="AH12" s="553"/>
      <c r="AI12" s="554"/>
      <c r="AJ12" s="552">
        <f>IF(ISNUMBER(Datos!M12),Datos!M12," - ")</f>
        <v>0</v>
      </c>
      <c r="AK12" s="693">
        <f>IF(ISNUMBER(Datos!N12),Datos!N12," - ")</f>
        <v>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-6.5088757396449703E-2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31</v>
      </c>
      <c r="G14" s="1197">
        <f>SUBTOTAL(9,G8:G13)</f>
        <v>34</v>
      </c>
      <c r="H14" s="1211"/>
      <c r="I14" s="1197">
        <f t="shared" ref="I14:N14" si="1">SUBTOTAL(9,I8:I13)</f>
        <v>0</v>
      </c>
      <c r="J14" s="1164">
        <f t="shared" si="1"/>
        <v>0</v>
      </c>
      <c r="K14" s="1211">
        <f t="shared" si="1"/>
        <v>0</v>
      </c>
      <c r="L14" s="1211">
        <f t="shared" si="1"/>
        <v>0</v>
      </c>
      <c r="M14" s="1211">
        <f t="shared" si="1"/>
        <v>0</v>
      </c>
      <c r="N14" s="1211">
        <f t="shared" si="1"/>
        <v>1428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53</v>
      </c>
      <c r="Z14" s="1210">
        <f t="shared" si="3"/>
        <v>2186</v>
      </c>
      <c r="AA14" s="1199">
        <f t="shared" si="3"/>
        <v>35</v>
      </c>
      <c r="AB14" s="1199">
        <f t="shared" si="3"/>
        <v>0</v>
      </c>
      <c r="AC14" s="1199">
        <f t="shared" si="3"/>
        <v>0</v>
      </c>
      <c r="AD14" s="1199">
        <f t="shared" si="3"/>
        <v>0</v>
      </c>
      <c r="AE14" s="1199">
        <f t="shared" si="3"/>
        <v>4514</v>
      </c>
      <c r="AF14" s="1211">
        <f t="shared" si="3"/>
        <v>0</v>
      </c>
      <c r="AG14" s="1211">
        <f t="shared" si="3"/>
        <v>0</v>
      </c>
      <c r="AH14" s="1211">
        <f t="shared" si="3"/>
        <v>0</v>
      </c>
      <c r="AI14" s="1211">
        <f t="shared" si="3"/>
        <v>0</v>
      </c>
      <c r="AJ14" s="1211">
        <f t="shared" si="3"/>
        <v>1394</v>
      </c>
      <c r="AK14" s="1211">
        <f t="shared" si="3"/>
        <v>2826</v>
      </c>
      <c r="AL14" s="1211">
        <f t="shared" si="3"/>
        <v>0</v>
      </c>
      <c r="AM14" s="1211">
        <f t="shared" si="3"/>
        <v>0</v>
      </c>
      <c r="AN14" s="1211">
        <f t="shared" si="3"/>
        <v>0</v>
      </c>
      <c r="AO14" s="1203">
        <f>IF(ISNUMBER(((NºAsuntos!I14/NºAsuntos!G14)*11)/factor_trimestre),((NºAsuntos!I14/NºAsuntos!G14)*11)/factor_trimestre," - ")</f>
        <v>4.7315162907268169</v>
      </c>
      <c r="AP14" s="1213" t="str">
        <f>IF(ISNUMBER(Datos!CI14/Datos!CJ14),Datos!CI14/Datos!CJ14," - ")</f>
        <v xml:space="preserve"> - </v>
      </c>
      <c r="AQ14" s="1236">
        <f t="shared" ref="AQ14:AV14" si="4">SUBTOTAL(9,AQ9:AQ13)</f>
        <v>0</v>
      </c>
      <c r="AR14" s="1236">
        <f t="shared" si="4"/>
        <v>-0.51390438048265574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507</v>
      </c>
      <c r="C16" s="765" t="str">
        <f>Datos!A16</f>
        <v xml:space="preserve">Jdos. Instrucción                               </v>
      </c>
      <c r="D16" s="593"/>
      <c r="E16" s="1558">
        <f>IF(ISNUMBER(Datos!AQ16),Datos!AQ16," - ")</f>
        <v>3</v>
      </c>
      <c r="F16" s="543">
        <f>IF(ISNUMBER(AA16+Y16-Datos!J16-K16),AA16+Y16-Datos!J16-K16," - ")</f>
        <v>1187</v>
      </c>
      <c r="G16" s="552">
        <f>IF(ISNUMBER(IF(D_I="SI",Datos!I16,Datos!I16+Datos!AC16)),IF(D_I="SI",Datos!I16,Datos!I16+Datos!AC16)," - ")</f>
        <v>1161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252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4148</v>
      </c>
      <c r="Z16" s="805">
        <f>IF(ISNUMBER(Datos!Q16),Datos!Q16," - ")</f>
        <v>287</v>
      </c>
      <c r="AA16" s="551">
        <f>IF(ISNUMBER(IF(D_I="SI",Datos!L16,Datos!L16+Datos!AF16)),IF(D_I="SI",Datos!L16,Datos!L16+Datos!AF16)," - ")</f>
        <v>987</v>
      </c>
      <c r="AB16" s="549"/>
      <c r="AC16" s="549"/>
      <c r="AD16" s="563"/>
      <c r="AE16" s="563">
        <f>IF(ISNUMBER(Datos!R16),Datos!R16," - ")</f>
        <v>308</v>
      </c>
      <c r="AF16" s="693" t="str">
        <f>IF(ISNUMBER(Datos!BV16),Datos!BV16," - ")</f>
        <v xml:space="preserve"> - </v>
      </c>
      <c r="AG16" s="552"/>
      <c r="AH16" s="553"/>
      <c r="AI16" s="554"/>
      <c r="AJ16" s="552">
        <f>IF(ISNUMBER(Datos!M16),Datos!M16," - ")</f>
        <v>808</v>
      </c>
      <c r="AK16" s="693">
        <f>IF(ISNUMBER(Datos!N16),Datos!N16," - ")</f>
        <v>2174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2.6174059787849564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329</v>
      </c>
      <c r="Z18" s="805">
        <f>IF(ISNUMBER(Datos!Q18),Datos!Q18," - ")</f>
        <v>6</v>
      </c>
      <c r="AA18" s="551">
        <f>IF(ISNUMBER(Datos!L18),Datos!L18,"-")</f>
        <v>41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68</v>
      </c>
      <c r="AK18" s="693">
        <f>IF(ISNUMBER(Datos!N18),Datos!N18," - ")</f>
        <v>144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1.3708206686930091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1187</v>
      </c>
      <c r="G23" s="1197">
        <f>SUBTOTAL(9,G16:G22)</f>
        <v>1217</v>
      </c>
      <c r="H23" s="1240">
        <f>SUBTOTAL(9,H16:H22)</f>
        <v>0</v>
      </c>
      <c r="I23" s="1217">
        <f>SUBTOTAL(9,I16:I22)</f>
        <v>0</v>
      </c>
      <c r="J23" s="1164">
        <f>SUBTOTAL(9,J15:J22)</f>
        <v>0</v>
      </c>
      <c r="K23" s="1240">
        <f t="shared" ref="K23:S23" si="5">SUBTOTAL(9,K16:K22)</f>
        <v>0</v>
      </c>
      <c r="L23" s="1240">
        <f t="shared" si="5"/>
        <v>0</v>
      </c>
      <c r="M23" s="1240">
        <f t="shared" si="5"/>
        <v>0</v>
      </c>
      <c r="N23" s="1240">
        <f t="shared" si="5"/>
        <v>257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4477</v>
      </c>
      <c r="Z23" s="1240">
        <f t="shared" si="6"/>
        <v>293</v>
      </c>
      <c r="AA23" s="1240">
        <f t="shared" si="6"/>
        <v>1028</v>
      </c>
      <c r="AB23" s="1240">
        <f t="shared" si="6"/>
        <v>0</v>
      </c>
      <c r="AC23" s="1240">
        <f t="shared" si="6"/>
        <v>0</v>
      </c>
      <c r="AD23" s="1240">
        <f t="shared" si="6"/>
        <v>0</v>
      </c>
      <c r="AE23" s="1240">
        <f t="shared" si="6"/>
        <v>310</v>
      </c>
      <c r="AF23" s="1240">
        <f t="shared" si="6"/>
        <v>0</v>
      </c>
      <c r="AG23" s="1240">
        <f t="shared" si="6"/>
        <v>0</v>
      </c>
      <c r="AH23" s="1240">
        <f t="shared" si="6"/>
        <v>0</v>
      </c>
      <c r="AI23" s="1240">
        <f t="shared" si="6"/>
        <v>0</v>
      </c>
      <c r="AJ23" s="1240">
        <f t="shared" si="6"/>
        <v>876</v>
      </c>
      <c r="AK23" s="1240">
        <f t="shared" si="6"/>
        <v>2318</v>
      </c>
      <c r="AL23" s="1240">
        <f t="shared" si="6"/>
        <v>0</v>
      </c>
      <c r="AM23" s="1240">
        <f t="shared" si="6"/>
        <v>0</v>
      </c>
      <c r="AN23" s="1240">
        <f t="shared" si="6"/>
        <v>0</v>
      </c>
      <c r="AO23" s="1242">
        <f>IF(ISNUMBER(((NºAsuntos!I23/NºAsuntos!G23)*11)/factor_trimestre),((NºAsuntos!I23/NºAsuntos!G23)*11)/factor_trimestre," - ")</f>
        <v>2.5257985257985256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1218</v>
      </c>
      <c r="G31" s="1117">
        <f t="shared" si="12"/>
        <v>1251</v>
      </c>
      <c r="H31" s="1118">
        <f t="shared" si="12"/>
        <v>0</v>
      </c>
      <c r="I31" s="1117">
        <f t="shared" si="12"/>
        <v>0</v>
      </c>
      <c r="J31" s="1119">
        <f t="shared" si="12"/>
        <v>0</v>
      </c>
      <c r="K31" s="1117">
        <f t="shared" si="12"/>
        <v>0</v>
      </c>
      <c r="L31" s="1120">
        <f t="shared" si="12"/>
        <v>0</v>
      </c>
      <c r="M31" s="1117">
        <f t="shared" si="12"/>
        <v>0</v>
      </c>
      <c r="N31" s="1118">
        <f t="shared" si="12"/>
        <v>1685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4530</v>
      </c>
      <c r="Z31" s="1124">
        <f t="shared" si="13"/>
        <v>2479</v>
      </c>
      <c r="AA31" s="1125">
        <f t="shared" si="13"/>
        <v>1063</v>
      </c>
      <c r="AB31" s="1125">
        <f t="shared" si="13"/>
        <v>0</v>
      </c>
      <c r="AC31" s="1125">
        <f t="shared" si="13"/>
        <v>0</v>
      </c>
      <c r="AD31" s="1126">
        <f t="shared" si="13"/>
        <v>0</v>
      </c>
      <c r="AE31" s="1126">
        <f t="shared" si="13"/>
        <v>4824</v>
      </c>
      <c r="AF31" s="1127">
        <f t="shared" si="13"/>
        <v>0</v>
      </c>
      <c r="AG31" s="1128">
        <f t="shared" si="13"/>
        <v>0</v>
      </c>
      <c r="AH31" s="1129">
        <f t="shared" si="13"/>
        <v>0</v>
      </c>
      <c r="AI31" s="1127">
        <f t="shared" si="13"/>
        <v>0</v>
      </c>
      <c r="AJ31" s="1117">
        <f t="shared" si="13"/>
        <v>2270</v>
      </c>
      <c r="AK31" s="1117">
        <f t="shared" si="13"/>
        <v>5144</v>
      </c>
      <c r="AL31" s="1117">
        <f t="shared" si="13"/>
        <v>0</v>
      </c>
      <c r="AM31" s="1130">
        <f t="shared" si="13"/>
        <v>0</v>
      </c>
      <c r="AN31" s="1120">
        <f>IF(ISNUMBER(Datos!K31/Datos!J31),Datos!K31/Datos!J31," - ")</f>
        <v>0.98340843916427689</v>
      </c>
      <c r="AO31" s="1120">
        <f>IF(ISNUMBER(FIND("06",Criterios!A8,1)),(IF(ISNUMBER(((Datos!R31/Datos!Q31)*11)/factor_trimestre),((Datos!R31/Datos!Q31)*11)/factor_trimestre," - ")),(IF(ISNUMBER(((Datos!L31/Datos!K31)*11)/factor_trimestre),((Datos!L31/Datos!K31)*11)/factor_trimestre," - ")))</f>
        <v>4.1184128306602794</v>
      </c>
      <c r="AP31" s="1131" t="str">
        <f>IF(ISNUMBER(Datos!CI31/Datos!CJ31),Datos!CI31/Datos!CJ31," - ")</f>
        <v xml:space="preserve"> - </v>
      </c>
      <c r="AQ31" s="1131">
        <f>IF(OR(ISNUMBER(FIND("01",Criterios!A8,1)),ISNUMBER(FIND("02",Criterios!A8,1)),ISNUMBER(FIND("03",Criterios!A8,1)),ISNUMBER(FIND("04",Criterios!A8,1))),(J31-Y31+K31)/(F31-K31),(I31-Y31+K31)/(F31-K31))</f>
        <v>-3.7192118226600983</v>
      </c>
      <c r="AR31" s="1131">
        <f>IF(ISNUMBER((Datos!P31-Datos!Q31+O31)/(Datos!R31-Datos!P31+Datos!Q31-O31)),(Datos!P31-Datos!Q31+O31)/(Datos!R31-Datos!P31+Datos!Q31-O31)," - ")</f>
        <v>-0.14133143467426129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605.11883130505862</v>
      </c>
      <c r="G33" s="674">
        <f>IF(ISNUMBER(STDEV(G8:G30)),STDEV(G8:G30),"-")</f>
        <v>568.6492349251447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534.12836576155655</v>
      </c>
      <c r="AK33" s="276"/>
      <c r="AL33" s="276">
        <f>IF(ISNUMBER(STDEV(AL8:AL30)),STDEV(AL8:AL30),"-")</f>
        <v>0</v>
      </c>
      <c r="AM33" s="278">
        <f>IF(ISNUMBER(STDEV(AM8:AM30)),STDEV(AM8:AM30),"-")</f>
        <v>0</v>
      </c>
      <c r="AN33" s="660">
        <f>IF(ISNUMBER(STDEV(AN8:AN30)),STDEV(AN8:AN30),"-")</f>
        <v>0</v>
      </c>
      <c r="AO33" s="661">
        <f>IF(ISNUMBER(STDEV(AO8:AO30)),STDEV(AO8:AO30),"-")</f>
        <v>1.8806008818582378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lAdiO82K8gxLWp+Gey3rI0Vw3O8OdMM3H3Y9CZ72HGSZ9nR6A/EZcsXSgxMsWQry+WOp6a0mzWX4HBaPFqrw==" saltValue="uSsY9bCzGY65AX+sDHsM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nOmdXh60lXj/kyRfM6tU3uJ7Y9946JLw3XMR+nyQApWJeEXCnvtNdXn8cq0L23jhRH/Od3nSkiba+vPjoDfFYA==" saltValue="ywW93P+2PHxh1jF+qyOM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409</v>
      </c>
      <c r="BN5" s="1630" t="s">
        <v>258</v>
      </c>
      <c r="BO5" s="1631"/>
      <c r="BP5" s="1630" t="s">
        <v>259</v>
      </c>
      <c r="BQ5" s="1631"/>
      <c r="BR5" s="1630" t="s">
        <v>260</v>
      </c>
      <c r="BS5" s="1631"/>
      <c r="BT5" s="1630" t="s">
        <v>261</v>
      </c>
      <c r="BU5" s="1631"/>
      <c r="BV5" s="1807" t="s">
        <v>345</v>
      </c>
      <c r="BW5" s="1813" t="s">
        <v>323</v>
      </c>
      <c r="BX5" s="1813"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543</v>
      </c>
      <c r="CL5" s="1774" t="s">
        <v>544</v>
      </c>
      <c r="CM5" s="1774" t="s">
        <v>582</v>
      </c>
      <c r="CN5" s="1858" t="s">
        <v>480</v>
      </c>
      <c r="CO5" s="1858" t="s">
        <v>473</v>
      </c>
      <c r="CP5" s="1858" t="s">
        <v>479</v>
      </c>
      <c r="CQ5" s="1873" t="s">
        <v>478</v>
      </c>
      <c r="CR5" s="1873" t="s">
        <v>478</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639</v>
      </c>
      <c r="DM5" s="1777" t="s">
        <v>709</v>
      </c>
      <c r="DN5" s="1777" t="s">
        <v>710</v>
      </c>
      <c r="DO5" s="1777" t="s">
        <v>711</v>
      </c>
      <c r="DP5" s="1777" t="s">
        <v>712</v>
      </c>
      <c r="DQ5" s="1777" t="s">
        <v>713</v>
      </c>
      <c r="DR5" s="1777" t="s">
        <v>714</v>
      </c>
      <c r="DS5" s="1777" t="s">
        <v>715</v>
      </c>
      <c r="DT5" s="1777" t="s">
        <v>716</v>
      </c>
      <c r="DU5" s="1778" t="s">
        <v>717</v>
      </c>
      <c r="DV5" s="1756" t="s">
        <v>718</v>
      </c>
      <c r="DW5" s="1753" t="s">
        <v>719</v>
      </c>
      <c r="DX5" s="1777" t="s">
        <v>720</v>
      </c>
      <c r="DY5" s="1750" t="s">
        <v>721</v>
      </c>
      <c r="DZ5" s="1753" t="s">
        <v>722</v>
      </c>
      <c r="EA5" s="1750" t="s">
        <v>723</v>
      </c>
      <c r="EB5" s="1784" t="s">
        <v>783</v>
      </c>
      <c r="EC5" s="1784" t="s">
        <v>784</v>
      </c>
      <c r="ED5" s="1784" t="s">
        <v>785</v>
      </c>
      <c r="EE5" s="1784" t="s">
        <v>825</v>
      </c>
      <c r="EF5" s="1784" t="s">
        <v>829</v>
      </c>
      <c r="EG5" s="1750" t="s">
        <v>827</v>
      </c>
      <c r="EH5" s="1750" t="s">
        <v>828</v>
      </c>
      <c r="EI5" s="1750" t="s">
        <v>787</v>
      </c>
      <c r="EJ5" s="1750" t="s">
        <v>788</v>
      </c>
      <c r="EK5" s="1765" t="s">
        <v>876</v>
      </c>
      <c r="EL5" s="1768" t="s">
        <v>894</v>
      </c>
      <c r="EM5" s="1769"/>
      <c r="EN5" s="1770"/>
      <c r="EO5" s="1762" t="s">
        <v>994</v>
      </c>
      <c r="EP5" s="1762" t="s">
        <v>996</v>
      </c>
      <c r="EQ5" s="1762" t="s">
        <v>997</v>
      </c>
      <c r="ER5" s="1762" t="s">
        <v>1010</v>
      </c>
      <c r="ES5" s="1762" t="s">
        <v>1012</v>
      </c>
      <c r="ET5" s="1759" t="s">
        <v>1097</v>
      </c>
      <c r="EU5" s="1759" t="s">
        <v>1098</v>
      </c>
      <c r="EV5" s="1870" t="s">
        <v>1119</v>
      </c>
      <c r="EW5" s="1870" t="s">
        <v>1125</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993</v>
      </c>
      <c r="B7" s="1821"/>
      <c r="C7" s="1824"/>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895</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1099</v>
      </c>
      <c r="EU8" s="1519" t="s">
        <v>1100</v>
      </c>
      <c r="EV8" s="165" t="s">
        <v>1108</v>
      </c>
      <c r="EW8" s="165">
        <v>153</v>
      </c>
      <c r="EX8" s="532" t="s">
        <v>1160</v>
      </c>
      <c r="EY8" s="532" t="s">
        <v>1174</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EAfhCBHFNKJD5jpytQSCJjrk3G2+RsTrgQk0t9EVlYMnIAjKAxXAxicEo2rir0dghRwAIrBSFF2598l6Q7Otg==" saltValue="WrTr7o2PrJ/sQQhcegVP9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PONTEVEDRA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461</v>
      </c>
      <c r="B5" s="297"/>
      <c r="C5" s="1668" t="str">
        <f>"Año:  " &amp;Criterios!B$5 &amp; "          Trimestre   " &amp;Criterios!D$5 &amp; " al " &amp;Criterios!D$6</f>
        <v>Año:  2022          Trimestre   1 al 4</v>
      </c>
      <c r="D5" s="1885" t="s">
        <v>487</v>
      </c>
      <c r="E5" s="1885" t="s">
        <v>752</v>
      </c>
      <c r="F5" s="1914" t="s">
        <v>523</v>
      </c>
      <c r="G5" s="1885" t="s">
        <v>173</v>
      </c>
      <c r="H5" s="1885" t="s">
        <v>785</v>
      </c>
      <c r="I5" s="1885" t="s">
        <v>753</v>
      </c>
      <c r="J5" s="1885" t="s">
        <v>870</v>
      </c>
      <c r="K5" s="1885" t="s">
        <v>754</v>
      </c>
      <c r="L5" s="1885" t="s">
        <v>709</v>
      </c>
      <c r="M5" s="1917" t="s">
        <v>783</v>
      </c>
      <c r="N5" s="1885" t="s">
        <v>927</v>
      </c>
      <c r="O5" s="1885" t="s">
        <v>886</v>
      </c>
      <c r="P5" s="1885" t="s">
        <v>225</v>
      </c>
      <c r="Q5" s="1920" t="s">
        <v>882</v>
      </c>
      <c r="R5" s="1920" t="s">
        <v>928</v>
      </c>
      <c r="S5" s="1885" t="s">
        <v>786</v>
      </c>
      <c r="T5" s="1920" t="s">
        <v>755</v>
      </c>
      <c r="U5" s="1920" t="s">
        <v>1038</v>
      </c>
      <c r="V5" s="1920" t="s">
        <v>1039</v>
      </c>
      <c r="W5" s="1903" t="s">
        <v>811</v>
      </c>
      <c r="X5" s="1906" t="s">
        <v>756</v>
      </c>
      <c r="Y5" s="1903" t="s">
        <v>757</v>
      </c>
      <c r="Z5" s="1903" t="s">
        <v>758</v>
      </c>
      <c r="AA5" s="1885" t="s">
        <v>887</v>
      </c>
      <c r="AB5" s="1885" t="s">
        <v>893</v>
      </c>
      <c r="AC5" s="1885" t="s">
        <v>239</v>
      </c>
      <c r="AD5" s="1891" t="s">
        <v>237</v>
      </c>
      <c r="AE5" s="1885" t="s">
        <v>888</v>
      </c>
      <c r="AF5" s="1894" t="s">
        <v>889</v>
      </c>
      <c r="AG5" s="1897" t="s">
        <v>718</v>
      </c>
      <c r="AH5" s="1885" t="s">
        <v>719</v>
      </c>
      <c r="AI5" s="1885" t="s">
        <v>809</v>
      </c>
      <c r="AJ5" s="1900" t="s">
        <v>810</v>
      </c>
      <c r="AK5" s="1897" t="s">
        <v>240</v>
      </c>
      <c r="AL5" s="1885" t="s">
        <v>762</v>
      </c>
      <c r="AM5" s="1885" t="s">
        <v>318</v>
      </c>
      <c r="AN5" s="1885" t="s">
        <v>319</v>
      </c>
      <c r="AO5" s="1885" t="s">
        <v>320</v>
      </c>
      <c r="AP5" s="1885" t="s">
        <v>763</v>
      </c>
      <c r="AQ5" s="1885" t="s">
        <v>321</v>
      </c>
      <c r="AR5" s="1885" t="s">
        <v>764</v>
      </c>
      <c r="AS5" s="1885" t="s">
        <v>765</v>
      </c>
      <c r="AT5" s="1885" t="s">
        <v>766</v>
      </c>
      <c r="AU5" s="1885" t="s">
        <v>794</v>
      </c>
      <c r="AV5" s="1885" t="s">
        <v>787</v>
      </c>
      <c r="AW5" s="1885" t="s">
        <v>1120</v>
      </c>
      <c r="AX5" s="1885" t="s">
        <v>1124</v>
      </c>
      <c r="AY5" s="1885" t="s">
        <v>1126</v>
      </c>
      <c r="AZ5" s="1885" t="s">
        <v>788</v>
      </c>
      <c r="BA5" s="1885" t="s">
        <v>1175</v>
      </c>
      <c r="BB5" s="1885" t="s">
        <v>767</v>
      </c>
      <c r="BC5" s="1885" t="s">
        <v>717</v>
      </c>
      <c r="BW5" s="1885" t="s">
        <v>1040</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0.21835839598997495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0.1544027025335287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7MB6vZeS5dMcnIiMiNWpuhR4H7bOMwiwnHccRBG0EuysKQqLntNqmc71lW3cVMwCnt/syqOD6Tk83iCsepux5w==" saltValue="R36VFmy8tJSagSuJUQS7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z2DHCdQ8RQpne6Hk0UL5/ZUuvPuD7dcws4nAox8KjJOct4frXYIdm/pxorS4B804Yi3uPbTQ0xMRK/netGlRw==" saltValue="8mENQh8meKH1zVvXkxW1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PONTEVEDRA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999</v>
      </c>
      <c r="L5" s="1572" t="s">
        <v>1062</v>
      </c>
      <c r="M5" s="1572" t="s">
        <v>1162</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1947</v>
      </c>
      <c r="D9" s="452">
        <f>IF(ISNUMBER(C9/Datos!BH9),C9/Datos!BH9," - ")</f>
        <v>486.75</v>
      </c>
      <c r="E9" s="451">
        <f>IF(ISNUMBER(IF(J_V="SI",Datos!J9,Datos!J9+Datos!Z9)),IF(J_V="SI",Datos!J9,Datos!J9+Datos!Z9)," - ")</f>
        <v>4950</v>
      </c>
      <c r="F9" s="452">
        <f>IF(ISNUMBER(E9/B9),E9/B9," - ")</f>
        <v>1237.5</v>
      </c>
      <c r="G9" s="451">
        <f>IF(ISNUMBER(IF(J_V="SI",Datos!K9,Datos!K9+Datos!AA9)),IF(J_V="SI",Datos!K9,Datos!K9+Datos!AA9)," - ")</f>
        <v>4703</v>
      </c>
      <c r="H9" s="452">
        <f>IF(ISNUMBER(G9/B9),G9/B9," - ")</f>
        <v>1175.75</v>
      </c>
      <c r="I9" s="451">
        <f>IF(ISNUMBER(IF(J_V="SI",Datos!L9,Datos!L9+Datos!AB9)),IF(J_V="SI",Datos!L9,Datos!L9+Datos!AB9)," - ")</f>
        <v>2197</v>
      </c>
      <c r="J9" s="452">
        <f>IF(ISNUMBER(I9/B9),I9/B9," - ")</f>
        <v>549.25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57</v>
      </c>
      <c r="F10" s="452">
        <f>IF(ISNUMBER(E10/B10),E10/B10," - ")</f>
        <v>57</v>
      </c>
      <c r="G10" s="451">
        <f>IF(ISNUMBER(Datos!K10),Datos!K10," - ")</f>
        <v>53</v>
      </c>
      <c r="H10" s="452">
        <f>IF(ISNUMBER(G10/B10),G10/B10," - ")</f>
        <v>53</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459</v>
      </c>
      <c r="D11" s="452">
        <f>IF(ISNUMBER(C11/Datos!BH11),C11/Datos!BH11," - ")</f>
        <v>459</v>
      </c>
      <c r="E11" s="451">
        <f>IF(ISNUMBER(IF(J_V="SI",Datos!J11,Datos!J11+Datos!Z11)),IF(J_V="SI",Datos!J11,Datos!J11+Datos!Z11)," - ")</f>
        <v>1690</v>
      </c>
      <c r="F11" s="452">
        <f>IF(ISNUMBER(E11/B11),E11/B11," - ")</f>
        <v>1690</v>
      </c>
      <c r="G11" s="451">
        <f>IF(ISNUMBER(IF(J_V="SI",Datos!K11,Datos!K11+Datos!AA11)),IF(J_V="SI",Datos!K11,Datos!K11+Datos!AA11)," - ")</f>
        <v>1624</v>
      </c>
      <c r="H11" s="452">
        <f>IF(ISNUMBER(G11/B11),G11/B11," - ")</f>
        <v>1624</v>
      </c>
      <c r="I11" s="451">
        <f>IF(ISNUMBER(IF(J_V="SI",Datos!L11,Datos!L11+Datos!AB11)),IF(J_V="SI",Datos!L11,Datos!L11+Datos!AB11)," - ")</f>
        <v>513</v>
      </c>
      <c r="J11" s="452">
        <f>IF(ISNUMBER(I11/B11),I11/B11," - ")</f>
        <v>513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4</v>
      </c>
      <c r="F12" s="452" t="str">
        <f>IF(ISNUMBER(E12/B12),E12/B12," - ")</f>
        <v xml:space="preserve"> - </v>
      </c>
      <c r="G12" s="451">
        <f>IF(ISNUMBER(IF(J_V="SI",Datos!K12,Datos!K12+Datos!AA12)),IF(J_V="SI",Datos!K12,Datos!K12+Datos!AA12)," - ")</f>
        <v>4</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2441</v>
      </c>
      <c r="D14" s="1147" t="str">
        <f>IF(ISNUMBER(C14/Datos!BI14),C14/Datos!BI14," - ")</f>
        <v xml:space="preserve"> - </v>
      </c>
      <c r="E14" s="1146">
        <f>SUBTOTAL(9,E8:E13)</f>
        <v>6701</v>
      </c>
      <c r="F14" s="1147">
        <f>IF(ISNUMBER(E14/B14),E14/B14," - ")</f>
        <v>1340.2</v>
      </c>
      <c r="G14" s="1146">
        <f>SUBTOTAL(9,G8:G13)</f>
        <v>6384</v>
      </c>
      <c r="H14" s="1147">
        <f>IF(ISNUMBER(G14/B14),G14/B14," - ")</f>
        <v>1276.8</v>
      </c>
      <c r="I14" s="1146">
        <f>SUBTOTAL(9,I8:I13)</f>
        <v>2746</v>
      </c>
      <c r="J14" s="1147">
        <f>IF(ISNUMBER(I14/B14),I14/B14," - ")</f>
        <v>549.20000000000005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1161</v>
      </c>
      <c r="D16" s="452">
        <f>IF(ISNUMBER(C16/Datos!BH16),C16/Datos!BH16," - ")</f>
        <v>387</v>
      </c>
      <c r="E16" s="451">
        <f>IF(ISNUMBER(IF(D_I="SI",Datos!J16,Datos!J16+Datos!AD16)),IF(D_I="SI",Datos!J16,Datos!J16+Datos!AD16)," - ")</f>
        <v>3948</v>
      </c>
      <c r="F16" s="452">
        <f>IF(ISNUMBER(E16/B16),E16/B16," - ")</f>
        <v>1316</v>
      </c>
      <c r="G16" s="451">
        <f>IF(ISNUMBER(IF(D_I="SI",Datos!K16,Datos!K16+Datos!AE16)),IF(D_I="SI",Datos!K16,Datos!K16+Datos!AE16)," - ")</f>
        <v>4148</v>
      </c>
      <c r="H16" s="452">
        <f>IF(ISNUMBER(G16/B16),G16/B16," - ")</f>
        <v>1382.6666666666667</v>
      </c>
      <c r="I16" s="451">
        <f>IF(ISNUMBER(IF(D_I="SI",Datos!L16,Datos!L16+Datos!AF16)),IF(D_I="SI",Datos!L16,Datos!L16+Datos!AF16)," - ")</f>
        <v>987</v>
      </c>
      <c r="J16" s="452">
        <f>IF(ISNUMBER(I16/B16),I16/B16," - ")</f>
        <v>329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317</v>
      </c>
      <c r="F18" s="452">
        <f>IF(ISNUMBER(E18/B18),E18/B18," - ")</f>
        <v>317</v>
      </c>
      <c r="G18" s="451">
        <f>IF(ISNUMBER(IF(D_I="SI",Datos!K18,Datos!K18+Datos!AE18)),IF(D_I="SI",Datos!K18,Datos!K18+Datos!AE18)," - ")</f>
        <v>329</v>
      </c>
      <c r="H18" s="452">
        <f>IF(ISNUMBER(G18/B18),G18/B18," - ")</f>
        <v>329</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1217</v>
      </c>
      <c r="D23" s="1147" t="str">
        <f>IF(ISNUMBER(C23/Datos!BI23),C23/Datos!BI23," - ")</f>
        <v xml:space="preserve"> - </v>
      </c>
      <c r="E23" s="1146">
        <f>SUBTOTAL(9,E15:E22)</f>
        <v>4265</v>
      </c>
      <c r="F23" s="1147">
        <f>IF(ISNUMBER(E23/B23),E23/B23," - ")</f>
        <v>1421.6666666666667</v>
      </c>
      <c r="G23" s="1146">
        <f>SUBTOTAL(9,G15:G22)</f>
        <v>4477</v>
      </c>
      <c r="H23" s="1147">
        <f>IF(ISNUMBER(G23/B23),G23/B23," - ")</f>
        <v>1492.3333333333333</v>
      </c>
      <c r="I23" s="1146">
        <f>SUBTOTAL(9,I15:I22)</f>
        <v>1028</v>
      </c>
      <c r="J23" s="1147">
        <f>IF(ISNUMBER(I23/B23),I23/B23," - ")</f>
        <v>342.66666666666669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3658</v>
      </c>
      <c r="D31" s="1085" t="str">
        <f>IF(ISNUMBER(C31/Datos!BI31),C31/Datos!BI31," - ")</f>
        <v xml:space="preserve"> - </v>
      </c>
      <c r="E31" s="1084">
        <f>SUBTOTAL(9,E9:E30)</f>
        <v>10966</v>
      </c>
      <c r="F31" s="1085">
        <f>IF(ISNUMBER(E31/B31),E31/B31," - ")</f>
        <v>1370.75</v>
      </c>
      <c r="G31" s="1084">
        <f>SUBTOTAL(9,G9:G30)</f>
        <v>10861</v>
      </c>
      <c r="H31" s="1085">
        <f>IF(ISNUMBER(G31/B31),G31/B31," - ")</f>
        <v>1357.625</v>
      </c>
      <c r="I31" s="1084">
        <f>SUBTOTAL(9,I9:I30)</f>
        <v>3774</v>
      </c>
      <c r="J31" s="1085">
        <f>IF(ISNUMBER(I31/B31),I31/B31," - ")</f>
        <v>471.75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Ko8HOVVCDBcpCGewx3xS07iBQvNAm9mcIq81yvWa4gzdwNhHDTVwn4PDrzdDeoopE0zn2MKbfB0cyZd/VsKPQ==" saltValue="jSdR4omL78sdesyRduLz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PONTEVEDRA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461</v>
      </c>
      <c r="B5" s="297"/>
      <c r="C5" s="1668" t="str">
        <f>"Año:  " &amp;Criterios!B$5 &amp; "          Trimestre   " &amp;Criterios!D$5 &amp; " al " &amp;Criterios!D$6</f>
        <v>Año:  2022          Trimestre   1 al 4</v>
      </c>
      <c r="D5" s="1885" t="s">
        <v>542</v>
      </c>
      <c r="E5" s="1885" t="s">
        <v>752</v>
      </c>
      <c r="F5" s="1914" t="s">
        <v>523</v>
      </c>
      <c r="G5" s="1885" t="s">
        <v>173</v>
      </c>
      <c r="H5" s="1885" t="s">
        <v>901</v>
      </c>
      <c r="I5" s="1885" t="s">
        <v>902</v>
      </c>
      <c r="J5" s="1885" t="s">
        <v>905</v>
      </c>
      <c r="K5" s="1885" t="s">
        <v>906</v>
      </c>
      <c r="L5" s="1885" t="s">
        <v>783</v>
      </c>
      <c r="M5" s="1885" t="s">
        <v>927</v>
      </c>
      <c r="N5" s="1885" t="s">
        <v>907</v>
      </c>
      <c r="O5" s="1885" t="s">
        <v>903</v>
      </c>
      <c r="P5" s="1885" t="s">
        <v>225</v>
      </c>
      <c r="Q5" s="1885" t="s">
        <v>882</v>
      </c>
      <c r="R5" s="1885" t="s">
        <v>928</v>
      </c>
      <c r="S5" s="1885" t="str">
        <f>"Ingreso Computable 2003" &amp; IF(OR(EXACT(LEFT(boletin,2),"04"),EXACT(LEFT(boletin,2),"14"),EXACT(LEFT(boletin,2),"17"))," (Civil + Penal)","")</f>
        <v>Ingreso Computable 2003</v>
      </c>
      <c r="T5" s="1885" t="s">
        <v>904</v>
      </c>
      <c r="U5" s="1920" t="str">
        <f>"% Ingreso Computable 2003" &amp; IF(OR(EXACT(LEFT(boletin,2),"04"),EXACT(LEFT(boletin,2),"14"),EXACT(LEFT(boletin,2),"17"))," (Civil + Penal)","")</f>
        <v>% Ingreso Computable 2003</v>
      </c>
      <c r="V5" s="1920" t="s">
        <v>908</v>
      </c>
      <c r="W5" s="1885" t="s">
        <v>1032</v>
      </c>
      <c r="X5" s="1885" t="s">
        <v>1033</v>
      </c>
      <c r="Y5" s="1888" t="s">
        <v>873</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909</v>
      </c>
      <c r="AC5" s="1944" t="s">
        <v>910</v>
      </c>
      <c r="AD5" s="1944" t="s">
        <v>911</v>
      </c>
      <c r="AE5" s="1944" t="s">
        <v>912</v>
      </c>
      <c r="AF5" s="1885" t="s">
        <v>913</v>
      </c>
      <c r="AG5" s="1885" t="s">
        <v>914</v>
      </c>
      <c r="AH5" s="1885" t="s">
        <v>915</v>
      </c>
      <c r="AI5" s="1885" t="s">
        <v>916</v>
      </c>
      <c r="AJ5" s="1885" t="s">
        <v>239</v>
      </c>
      <c r="AK5" s="1897" t="s">
        <v>718</v>
      </c>
      <c r="AL5" s="1897" t="s">
        <v>240</v>
      </c>
      <c r="AM5" s="1885" t="s">
        <v>762</v>
      </c>
      <c r="AN5" s="1885" t="s">
        <v>318</v>
      </c>
      <c r="AO5" s="1885" t="s">
        <v>319</v>
      </c>
      <c r="AP5" s="1885" t="s">
        <v>917</v>
      </c>
      <c r="AQ5" s="1885" t="s">
        <v>918</v>
      </c>
      <c r="AR5" s="1885" t="s">
        <v>919</v>
      </c>
      <c r="AS5" s="1885" t="s">
        <v>920</v>
      </c>
      <c r="AT5" s="1885" t="s">
        <v>921</v>
      </c>
      <c r="AU5" s="1885" t="s">
        <v>922</v>
      </c>
      <c r="AV5" s="1885" t="s">
        <v>923</v>
      </c>
      <c r="AW5" s="1885" t="s">
        <v>924</v>
      </c>
      <c r="AX5" s="1885" t="s">
        <v>1120</v>
      </c>
      <c r="AY5" s="1885" t="s">
        <v>1124</v>
      </c>
      <c r="AZ5" s="1885" t="s">
        <v>925</v>
      </c>
      <c r="BA5" s="1885" t="s">
        <v>926</v>
      </c>
      <c r="BB5" s="1885" t="s">
        <v>717</v>
      </c>
      <c r="BC5" s="1744" t="s">
        <v>933</v>
      </c>
      <c r="BD5" s="1744" t="s">
        <v>934</v>
      </c>
      <c r="BE5" s="1914" t="s">
        <v>935</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317</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31</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53</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7.2641509433962259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-6.5088757396449703E-2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31</v>
      </c>
      <c r="G14" s="1256">
        <f t="shared" si="0"/>
        <v>34</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53</v>
      </c>
      <c r="AC14" s="1257">
        <f t="shared" si="1"/>
        <v>0</v>
      </c>
      <c r="AD14" s="1257">
        <f t="shared" si="1"/>
        <v>11</v>
      </c>
      <c r="AE14" s="1257">
        <f t="shared" si="1"/>
        <v>0</v>
      </c>
      <c r="AF14" s="1257">
        <f t="shared" si="1"/>
        <v>35</v>
      </c>
      <c r="AG14" s="1257">
        <f t="shared" si="1"/>
        <v>0</v>
      </c>
      <c r="AH14" s="1257">
        <f t="shared" si="1"/>
        <v>158</v>
      </c>
      <c r="AI14" s="1257">
        <f t="shared" si="1"/>
        <v>0</v>
      </c>
      <c r="AJ14" s="1257">
        <f t="shared" si="1"/>
        <v>0</v>
      </c>
      <c r="AK14" s="1257">
        <f t="shared" si="1"/>
        <v>0</v>
      </c>
      <c r="AL14" s="1257">
        <f t="shared" si="1"/>
        <v>27</v>
      </c>
      <c r="AM14" s="1257">
        <f t="shared" si="1"/>
        <v>23</v>
      </c>
      <c r="AN14" s="1257">
        <f t="shared" si="1"/>
        <v>0</v>
      </c>
      <c r="AO14" s="1257">
        <f t="shared" si="1"/>
        <v>0</v>
      </c>
      <c r="AP14" s="1262">
        <f>IF(ISNUMBER(((Datos!L14/Datos!K14)*11)/factor_trimestre),((Datos!L14/Datos!K14)*11)/factor_trimestre," - ")</f>
        <v>5.5096585365853663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-1.7096774193548387</v>
      </c>
      <c r="AU14" s="1257" t="str">
        <f>IF(ISNUMBER((DatosP!#REF!-DatosP!#REF!+DatosP!#REF!)/(DatosP!#REF!+DatosP!#REF!-DatosP!#REF!-DatosP!#REF!)),(DatosP!#REF!-DatosP!#REF!+DatosP!#REF!)/(DatosP!#REF!+DatosP!#REF!-DatosP!#REF!-DatosP!#REF!)," - ")</f>
        <v xml:space="preserve"> - </v>
      </c>
      <c r="AV14" s="1263">
        <f>SUBTOTAL(9,AV9:AV13)</f>
        <v>-6.5088757396449703E-2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2.5257985257985256</v>
      </c>
      <c r="AQ23" s="1262">
        <f>IF(ISNUMBER(((Datos!M23/Datos!L23)*11)/factor_trimestre),((Datos!M23/Datos!L23)*11)/factor_trimestre," - ")</f>
        <v>9.3735408560311289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-0.10404624277456648</v>
      </c>
      <c r="AW23" s="1265">
        <f>IF(ISNUMBER((Datos!Q23-Datos!R23)/(Datos!S23-Datos!Q23+Datos!R23)),(Datos!Q23-Datos!R23)/(Datos!S23-Datos!Q23+Datos!R23)," - ")</f>
        <v>-1.0725552050473186E-2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31</v>
      </c>
      <c r="G31" s="1278">
        <f t="shared" si="8"/>
        <v>34</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53</v>
      </c>
      <c r="AC31" s="1284">
        <f t="shared" si="9"/>
        <v>0</v>
      </c>
      <c r="AD31" s="1284">
        <f t="shared" si="9"/>
        <v>11</v>
      </c>
      <c r="AE31" s="1284">
        <f t="shared" si="9"/>
        <v>0</v>
      </c>
      <c r="AF31" s="1285">
        <f t="shared" si="9"/>
        <v>35</v>
      </c>
      <c r="AG31" s="1285">
        <f t="shared" si="9"/>
        <v>0</v>
      </c>
      <c r="AH31" s="1285">
        <f t="shared" si="9"/>
        <v>158</v>
      </c>
      <c r="AI31" s="1285">
        <f t="shared" si="9"/>
        <v>0</v>
      </c>
      <c r="AJ31" s="1286">
        <f t="shared" si="9"/>
        <v>0</v>
      </c>
      <c r="AK31" s="1286">
        <f t="shared" si="9"/>
        <v>0</v>
      </c>
      <c r="AL31" s="1278">
        <f t="shared" si="9"/>
        <v>27</v>
      </c>
      <c r="AM31" s="1278">
        <f t="shared" si="9"/>
        <v>23</v>
      </c>
      <c r="AN31" s="1278">
        <f t="shared" si="9"/>
        <v>0</v>
      </c>
      <c r="AO31" s="1278">
        <f t="shared" si="9"/>
        <v>0</v>
      </c>
      <c r="AP31" s="1278">
        <f>IF(ISNUMBER(((Datos!L31/Datos!K31)*11)/factor_trimestre),((Datos!L31/Datos!K31)*11)/factor_trimestre," - ")</f>
        <v>4.1184128306602794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-1.7096774193548387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-0.14133143467426129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1.9649710204252659</v>
      </c>
      <c r="F33" s="1006">
        <f>IF(ISNUMBER(STDEV(F8:F30)),STDEV(F8:F30),"-")</f>
        <v>16.97939928266015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29.029295547773806</v>
      </c>
      <c r="AC33" s="1008">
        <f>IF(ISNUMBER(STDEV(AC8:AC30)),STDEV(AC8:AC30),"-")</f>
        <v>0</v>
      </c>
      <c r="AD33" s="1011"/>
      <c r="AE33" s="1011"/>
      <c r="AF33" s="1011"/>
      <c r="AG33" s="1011"/>
      <c r="AH33" s="1011"/>
      <c r="AI33" s="1011"/>
      <c r="AJ33" s="1012">
        <f>IF(ISNUMBER(STDEV(AJ8:AJ30)),STDEV(AJ8:AJ30),"-")</f>
        <v>0</v>
      </c>
      <c r="AK33" s="1014"/>
      <c r="AL33" s="1006">
        <f>IF(ISNUMBER(STDEV(AL8:AL30)),STDEV(AL8:AL30),"-")</f>
        <v>13.942740046346701</v>
      </c>
      <c r="AM33" s="1006"/>
      <c r="AN33" s="1006">
        <f>IF(ISNUMBER(STDEV(AN8:AN30)),STDEV(AN8:AN30),"-")</f>
        <v>0</v>
      </c>
      <c r="AO33" s="1012">
        <f>IF(ISNUMBER(STDEV(AO8:AO30)),STDEV(AO8:AO30),"-")</f>
        <v>0</v>
      </c>
      <c r="AP33" s="1065">
        <f>IF(ISNUMBER(STDEV(AP8:AP30)),STDEV(AP8:AP30),"-")</f>
        <v>2.2817607981964159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0/YSRRa7kaJ4bT2M6/vWdYX9wNe7L9Pv0zr+i9qx4VauFxnSgIBe2I/u4bP8WP58gH+HQEAg6dlcUNflM6ZpJg==" saltValue="rN44aew2xppdaCcG9TGW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276</v>
      </c>
      <c r="B3" s="439" t="str">
        <f>Criterios!A10 &amp;"  "&amp;Criterios!B10</f>
        <v>Provincias  PONTEVEDRA</v>
      </c>
      <c r="C3" s="463"/>
      <c r="F3" s="436"/>
      <c r="G3" s="436"/>
      <c r="H3" s="436"/>
    </row>
    <row r="4" spans="1:15" ht="13.5" thickBot="1">
      <c r="A4" s="436"/>
      <c r="B4" s="439" t="str">
        <f>Criterios!A11 &amp;"  "&amp;Criterios!B11</f>
        <v>Resumenes por Partidos Judiciales  PONTEVEDRA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ID+3N2CkhSDNIHZ+OEQhZXocUJkP+nOkRaIf/WtZWPPAX6npReHs5WEB5MnSg4bm5uPditfig3Po0zZjSn1mYA==" saltValue="Py1MVeGi39fxXV+3Hc9C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PONTEVEDRA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1087</v>
      </c>
      <c r="E9" s="452">
        <f t="shared" ref="E9:E14" si="0">IF(ISNUMBER(D9/B9),D9/B9," - ")</f>
        <v>271.75</v>
      </c>
      <c r="F9" s="451">
        <f>IF(ISNUMBER(Datos!N9),Datos!N9," - ")</f>
        <v>1840</v>
      </c>
      <c r="G9" s="452">
        <f t="shared" ref="G9:G14" si="1">IF(ISNUMBER(F9/B9),F9/B9," - ")</f>
        <v>460</v>
      </c>
      <c r="H9" s="451">
        <f>IF(ISNUMBER(Datos!O9),Datos!O9," - ")</f>
        <v>2271</v>
      </c>
      <c r="I9" s="452">
        <f>IF(ISNUMBER(H9/B9),H9/B9," - ")</f>
        <v>567.75</v>
      </c>
    </row>
    <row r="10" spans="1:9">
      <c r="A10" s="450" t="str">
        <f>Datos!A10</f>
        <v>Jdos. Violencia contra la mujer</v>
      </c>
      <c r="B10" s="480">
        <f>Datos!AO10</f>
        <v>1</v>
      </c>
      <c r="C10" s="458">
        <f>Datos!AQ10</f>
        <v>0</v>
      </c>
      <c r="D10" s="451">
        <f>IF(ISNUMBER(Datos!M10),Datos!M10," - ")</f>
        <v>27</v>
      </c>
      <c r="E10" s="452">
        <f>IF(ISNUMBER(D10/B10),D10/B10," - ")</f>
        <v>27</v>
      </c>
      <c r="F10" s="451">
        <f>IF(ISNUMBER(Datos!N10),Datos!N10," - ")</f>
        <v>19</v>
      </c>
      <c r="G10" s="452">
        <f>IF(ISNUMBER(F10/B10),F10/B10," - ")</f>
        <v>19</v>
      </c>
      <c r="H10" s="451">
        <f>IF(ISNUMBER(Datos!O10),Datos!O10," - ")</f>
        <v>7</v>
      </c>
      <c r="I10" s="452">
        <f t="shared" ref="I10:I13" si="2">IF(ISNUMBER(H10/B10),H10/B10," - ")</f>
        <v>7</v>
      </c>
    </row>
    <row r="11" spans="1:9">
      <c r="A11" s="450" t="str">
        <f>Datos!A11</f>
        <v xml:space="preserve">Jdos. Familia                                   </v>
      </c>
      <c r="B11" s="480">
        <f>Datos!AO11</f>
        <v>1</v>
      </c>
      <c r="C11" s="458">
        <f>Datos!AQ11</f>
        <v>1</v>
      </c>
      <c r="D11" s="451">
        <f>IF(ISNUMBER(Datos!M11),Datos!M11," - ")</f>
        <v>280</v>
      </c>
      <c r="E11" s="452">
        <f t="shared" si="0"/>
        <v>280</v>
      </c>
      <c r="F11" s="451">
        <f>IF(ISNUMBER(Datos!N11),Datos!N11," - ")</f>
        <v>963</v>
      </c>
      <c r="G11" s="452">
        <f t="shared" si="1"/>
        <v>963</v>
      </c>
      <c r="H11" s="451">
        <f>IF(ISNUMBER(Datos!O11),Datos!O11," - ")</f>
        <v>288</v>
      </c>
      <c r="I11" s="452">
        <f t="shared" si="2"/>
        <v>288</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4</v>
      </c>
      <c r="G12" s="452" t="str">
        <f t="shared" si="1"/>
        <v xml:space="preserve"> - </v>
      </c>
      <c r="H12" s="451">
        <f>IF(ISNUMBER(Datos!O12),Datos!O12," - ")</f>
        <v>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1394</v>
      </c>
      <c r="E14" s="1147">
        <f t="shared" si="0"/>
        <v>232.33333333333334</v>
      </c>
      <c r="F14" s="1146">
        <f>SUBTOTAL(9,F9:F13)</f>
        <v>2826</v>
      </c>
      <c r="G14" s="1147">
        <f t="shared" si="1"/>
        <v>471</v>
      </c>
      <c r="H14" s="1146">
        <f>SUBTOTAL(9,H9:H13)</f>
        <v>2568</v>
      </c>
      <c r="I14" s="1147">
        <f>IF(ISNUMBER(H14/B14),H14/B14," - ")</f>
        <v>428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808</v>
      </c>
      <c r="E16" s="452">
        <f t="shared" ref="E16:E23" si="3">IF(ISNUMBER(D16/B16),D16/B16," - ")</f>
        <v>269.33333333333331</v>
      </c>
      <c r="F16" s="451">
        <f>IF(ISNUMBER(Datos!N16),Datos!N16," - ")</f>
        <v>2174</v>
      </c>
      <c r="G16" s="452">
        <f t="shared" ref="G16:G23" si="4">IF(ISNUMBER(F16/B16),F16/B16," - ")</f>
        <v>724.66666666666663</v>
      </c>
      <c r="H16" s="451">
        <f>IF(ISNUMBER(Datos!O16),Datos!O16," - ")</f>
        <v>135</v>
      </c>
      <c r="I16" s="452">
        <f t="shared" ref="I16:I22" si="5">IF(ISNUMBER(H16/B16),H16/B16," - ")</f>
        <v>45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68</v>
      </c>
      <c r="E18" s="452">
        <f>IF(ISNUMBER(D18/B18),D18/B18," - ")</f>
        <v>68</v>
      </c>
      <c r="F18" s="451">
        <f>IF(ISNUMBER(Datos!N18),Datos!N18," - ")</f>
        <v>144</v>
      </c>
      <c r="G18" s="452">
        <f>IF(ISNUMBER(F18/B18),F18/B18," - ")</f>
        <v>144</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876</v>
      </c>
      <c r="E23" s="1147">
        <f t="shared" si="3"/>
        <v>219</v>
      </c>
      <c r="F23" s="1146">
        <f>SUBTOTAL(9,F16:F22)</f>
        <v>2318</v>
      </c>
      <c r="G23" s="1147">
        <f t="shared" si="4"/>
        <v>579.5</v>
      </c>
      <c r="H23" s="1146">
        <f>SUBTOTAL(9,H16:H22)</f>
        <v>138</v>
      </c>
      <c r="I23" s="1147">
        <f>IF(ISNUMBER(H23/B23),H23/B23," - ")</f>
        <v>34.5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2270</v>
      </c>
      <c r="E31" s="1085">
        <f>IF(ISNUMBER(D31/B31),D31/B31," - ")</f>
        <v>283.75</v>
      </c>
      <c r="F31" s="1084">
        <f>SUBTOTAL(9,F8:F30)</f>
        <v>5144</v>
      </c>
      <c r="G31" s="1085">
        <f>IF(ISNUMBER(F31/B31),F31/B31," - ")</f>
        <v>643</v>
      </c>
      <c r="H31" s="1084">
        <f>SUBTOTAL(9,H8:H30)</f>
        <v>2706</v>
      </c>
      <c r="I31" s="1085">
        <f>IF(ISNUMBER(H31/B31),H31/B31," - ")</f>
        <v>338.25</v>
      </c>
    </row>
    <row r="34" spans="1:1">
      <c r="A34" s="439" t="str">
        <f>Criterios!A4</f>
        <v>Fecha Informe: 14 abr. 2023</v>
      </c>
    </row>
    <row r="39" spans="1:1">
      <c r="A39" s="462"/>
    </row>
  </sheetData>
  <sheetProtection algorithmName="SHA-512" hashValue="J/BpDprY61wXDeBy13lpSuwoT8298f8EyhdNaZvJXNO5NOiB2Rr2/m0Zb4Cl49QhAwP8n8nzY0CkbZ+BdGR+pQ==" saltValue="rVMa+FQ+Z+1qzx4wU1oF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PONTEVEDRA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1263</v>
      </c>
      <c r="C9" s="489">
        <f>IF(ISNUMBER(Datos!Q9),Datos!Q9," - ")</f>
        <v>1783</v>
      </c>
      <c r="D9" s="456">
        <f>IF(ISNUMBER(Datos!R9),Datos!R9," - ")</f>
        <v>3931</v>
      </c>
    </row>
    <row r="10" spans="1:4">
      <c r="A10" s="450" t="str">
        <f>Datos!A10</f>
        <v>Jdos. Violencia contra la mujer</v>
      </c>
      <c r="B10" s="488">
        <f>IF(ISNUMBER(Datos!P10),Datos!P10," - ")</f>
        <v>17</v>
      </c>
      <c r="C10" s="489">
        <f>IF(ISNUMBER(Datos!Q10),Datos!Q10," - ")</f>
        <v>13</v>
      </c>
      <c r="D10" s="456">
        <f>IF(ISNUMBER(Datos!R10),Datos!R10," - ")</f>
        <v>69</v>
      </c>
    </row>
    <row r="11" spans="1:4">
      <c r="A11" s="450" t="str">
        <f>Datos!A11</f>
        <v xml:space="preserve">Jdos. Familia                                   </v>
      </c>
      <c r="B11" s="488">
        <f>IF(ISNUMBER(Datos!P11),Datos!P11," - ")</f>
        <v>148</v>
      </c>
      <c r="C11" s="489">
        <f>IF(ISNUMBER(Datos!Q11),Datos!Q11," - ")</f>
        <v>379</v>
      </c>
      <c r="D11" s="456">
        <f>IF(ISNUMBER(Datos!R11),Datos!R11," - ")</f>
        <v>356</v>
      </c>
    </row>
    <row r="12" spans="1:4">
      <c r="A12" s="450" t="str">
        <f>Datos!A12</f>
        <v xml:space="preserve">Jdos. 1ª Instª. e Instr.                        </v>
      </c>
      <c r="B12" s="488">
        <f>IF(ISNUMBER(Datos!P12),Datos!P12," - ")</f>
        <v>0</v>
      </c>
      <c r="C12" s="489">
        <f>IF(ISNUMBER(Datos!Q12),Datos!Q12," - ")</f>
        <v>11</v>
      </c>
      <c r="D12" s="456">
        <f>IF(ISNUMBER(Datos!R12),Datos!R12," - ")</f>
        <v>158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1428</v>
      </c>
      <c r="C14" s="1150">
        <f>SUBTOTAL(9,C9:C13)</f>
        <v>2186</v>
      </c>
      <c r="D14" s="1148">
        <f>SUBTOTAL(9,D9:D13)</f>
        <v>4514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252</v>
      </c>
      <c r="C16" s="489">
        <f>IF(ISNUMBER(Datos!Q16),Datos!Q16," - ")</f>
        <v>287</v>
      </c>
      <c r="D16" s="456">
        <f>IF(ISNUMBER(Datos!R16),Datos!R16," - ")</f>
        <v>308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6</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257</v>
      </c>
      <c r="C23" s="1150">
        <f>SUBTOTAL(9,C16:C22)</f>
        <v>293</v>
      </c>
      <c r="D23" s="1148">
        <f>SUBTOTAL(9,D16:D22)</f>
        <v>310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1685</v>
      </c>
      <c r="C31" s="1089">
        <f>SUBTOTAL(9,C8:C30)</f>
        <v>2479</v>
      </c>
      <c r="D31" s="1090">
        <f>SUBTOTAL(9,D8:D30)</f>
        <v>4824</v>
      </c>
    </row>
    <row r="32" spans="1:4" ht="7.5" customHeight="1"/>
    <row r="33" spans="1:1" ht="6" customHeight="1"/>
    <row r="34" spans="1:1">
      <c r="A34" s="439" t="str">
        <f>Criterios!A4</f>
        <v>Fecha Informe: 14 abr. 2023</v>
      </c>
    </row>
    <row r="39" spans="1:1">
      <c r="A39" s="462"/>
    </row>
  </sheetData>
  <sheetProtection algorithmName="SHA-512" hashValue="xDNlc6Mm+Dm9YRRUH4BrGfzi50LOcp7ECnzWEe9g3Ccu0SO43MLwTjXAj0p9I5uAaoNLbonN4K9878h8xfzSrw==" saltValue="0UpOIhN7t3gLIaauQ9Dv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PONTEVEDRA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-0.21078232671260641</v>
      </c>
      <c r="C9" s="515">
        <f>IF(ISNUMBER(
   IF(J_V="SI",(Datos!J9-Datos!T9)/Datos!T9,(Datos!J9+Datos!Z9-(Datos!T9+Datos!AH9))/(Datos!T9+Datos!AH9))
     ),IF(J_V="SI",(Datos!J9-Datos!T9)/Datos!T9,(Datos!J9+Datos!Z9-(Datos!T9+Datos!AH9))/(Datos!T9+Datos!AH9))," - ")</f>
        <v>5.724049551473729E-2</v>
      </c>
      <c r="D9" s="515">
        <f>IF(ISNUMBER(
   IF(J_V="SI",(Datos!K9-Datos!U9)/Datos!U9,(Datos!K9+Datos!AA9-(Datos!U9+Datos!AI9))/(Datos!U9+Datos!AI9))
     ),IF(J_V="SI",(Datos!K9-Datos!U9)/Datos!U9,(Datos!K9+Datos!AA9-(Datos!U9+Datos!AI9))/(Datos!U9+Datos!AI9))," - ")</f>
        <v>-9.5576923076923073E-2</v>
      </c>
      <c r="E9" s="515">
        <f>IF(ISNUMBER(
   IF(J_V="SI",(Datos!L9-Datos!V9)/Datos!V9,(Datos!L9+Datos!AB9-(Datos!V9+Datos!AJ9))/(Datos!V9+Datos!AJ9))
     ),IF(J_V="SI",(Datos!L9-Datos!V9)/Datos!V9,(Datos!L9+Datos!AB9-(Datos!V9+Datos!AJ9))/(Datos!V9+Datos!AJ9))," - ")</f>
        <v>0.12840267077555212</v>
      </c>
      <c r="F9" s="515">
        <f>IF(ISNUMBER((Datos!M9-Datos!W9)/Datos!W9),(Datos!M9-Datos!W9)/Datos!W9," - ")</f>
        <v>-3.8053097345132743E-2</v>
      </c>
      <c r="G9" s="516">
        <f>IF(ISNUMBER((Datos!N9-Datos!X9)/Datos!X9),(Datos!N9-Datos!X9)/Datos!X9," - ")</f>
        <v>-0.10024449877750612</v>
      </c>
      <c r="H9" s="514">
        <f>IF(ISNUMBER(((NºAsuntos!G9/NºAsuntos!E9)-Datos!BD9)/Datos!BD9),((NºAsuntos!G9/NºAsuntos!E9)-Datos!BD9)/Datos!BD9," - ")</f>
        <v>-0.14454366744366742</v>
      </c>
      <c r="I9" s="515">
        <f>IF(ISNUMBER(((NºAsuntos!I9/NºAsuntos!G9)-Datos!BE9)/Datos!BE9),((NºAsuntos!I9/NºAsuntos!G9)-Datos!BE9)/Datos!BE9," - ")</f>
        <v>0.24764913630297072</v>
      </c>
      <c r="J9" s="521">
        <f>IF(ISNUMBER((('Resol  Asuntos'!D9/NºAsuntos!G9)-Datos!BF9)/Datos!BF9),(('Resol  Asuntos'!D9/NºAsuntos!G9)-Datos!BF9)/Datos!BF9," - ")</f>
        <v>-0.41228794812861996</v>
      </c>
      <c r="K9" s="522">
        <f>IF(ISNUMBER((((NºAsuntos!C9+NºAsuntos!E9)/NºAsuntos!G9)-Datos!BG9)/Datos!BG9),(((NºAsuntos!C9+NºAsuntos!E9)/NºAsuntos!G9)-Datos!BG9)/Datos!BG9," - ")</f>
        <v>6.6702453028392616E-2</v>
      </c>
    </row>
    <row r="10" spans="1:11">
      <c r="A10" s="450" t="str">
        <f>Datos!A10</f>
        <v>Jdos. Violencia contra la mujer</v>
      </c>
      <c r="B10" s="514">
        <f>IF(ISNUMBER((Datos!I10-Datos!S10)/Datos!S10),(Datos!I10-Datos!S10)/Datos!S10," - ")</f>
        <v>-0.20930232558139536</v>
      </c>
      <c r="C10" s="515">
        <f>IF(ISNUMBER((Datos!J10-Datos!T10)/Datos!T10),(Datos!J10-Datos!T10)/Datos!T10," - ")</f>
        <v>-0.25</v>
      </c>
      <c r="D10" s="515">
        <f>IF(ISNUMBER((Datos!K10-Datos!U10)/Datos!U10),(Datos!K10-Datos!U10)/Datos!U10," - ")</f>
        <v>-0.37647058823529411</v>
      </c>
      <c r="E10" s="515">
        <f>IF(ISNUMBER((Datos!L10-Datos!V10)/Datos!V10),(Datos!L10-Datos!V10)/Datos!V10," - ")</f>
        <v>2.9411764705882353E-2</v>
      </c>
      <c r="F10" s="515">
        <f>IF(ISNUMBER((Datos!M10-Datos!W10)/Datos!W10),(Datos!M10-Datos!W10)/Datos!W10," - ")</f>
        <v>-0.1</v>
      </c>
      <c r="G10" s="516">
        <f>IF(ISNUMBER((Datos!N10-Datos!X10)/Datos!X10),(Datos!N10-Datos!X10)/Datos!X10," - ")</f>
        <v>-0.45714285714285713</v>
      </c>
      <c r="H10" s="514">
        <f>IF(ISNUMBER(((NºAsuntos!G10/NºAsuntos!E10)-Datos!BD10)/Datos!BD10),((NºAsuntos!G10/NºAsuntos!E10)-Datos!BD10)/Datos!BD10," - ")</f>
        <v>-0.16862745098039217</v>
      </c>
      <c r="I10" s="515">
        <f>IF(ISNUMBER(((NºAsuntos!I10/NºAsuntos!G10)-Datos!BE10)/Datos!BE10),((NºAsuntos!I10/NºAsuntos!G10)-Datos!BE10)/Datos!BE10," - ")</f>
        <v>0.65094339622641495</v>
      </c>
      <c r="J10" s="521">
        <f>IF(ISNUMBER((('Resol  Asuntos'!D10/NºAsuntos!G10)-Datos!BF10)/Datos!BF10),(('Resol  Asuntos'!D10/NºAsuntos!G10)-Datos!BF10)/Datos!BF10," - ")</f>
        <v>0.44339622641509424</v>
      </c>
      <c r="K10" s="522">
        <f>IF(ISNUMBER((((NºAsuntos!C10+NºAsuntos!E10)/NºAsuntos!G10)-Datos!BG10)/Datos!BG10),(((NºAsuntos!C10+NºAsuntos!E10)/NºAsuntos!G10)-Datos!BG10)/Datos!BG10," - ")</f>
        <v>0.22641509433962276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-0.22986577181208054</v>
      </c>
      <c r="C11" s="515">
        <f>IF(ISNUMBER(
   IF(J_V="SI",(Datos!J11-Datos!T11)/Datos!T11,(Datos!J11+Datos!Z11-(Datos!T11+Datos!AH11))/(Datos!T11+Datos!AH11))
     ),IF(J_V="SI",(Datos!J11-Datos!T11)/Datos!T11,(Datos!J11+Datos!Z11-(Datos!T11+Datos!AH11))/(Datos!T11+Datos!AH11))," - ")</f>
        <v>0.15753424657534246</v>
      </c>
      <c r="D11" s="515">
        <f>IF(ISNUMBER(
   IF(J_V="SI",(Datos!K11-Datos!U11)/Datos!U11,(Datos!K11+Datos!AA11-(Datos!U11+Datos!AI11))/(Datos!U11+Datos!AI11))
     ),IF(J_V="SI",(Datos!K11-Datos!U11)/Datos!U11,(Datos!K11+Datos!AA11-(Datos!U11+Datos!AI11))/(Datos!U11+Datos!AI11))," - ")</f>
        <v>5.5916775032509754E-2</v>
      </c>
      <c r="E11" s="515">
        <f>IF(ISNUMBER(
   IF(J_V="SI",(Datos!L11-Datos!V11)/Datos!V11,(Datos!L11+Datos!AB11-(Datos!V11+Datos!AJ11))/(Datos!V11+Datos!AJ11))
     ),IF(J_V="SI",(Datos!L11-Datos!V11)/Datos!V11,(Datos!L11+Datos!AB11-(Datos!V11+Datos!AJ11))/(Datos!V11+Datos!AJ11))," - ")</f>
        <v>0.11764705882352941</v>
      </c>
      <c r="F11" s="515">
        <f>IF(ISNUMBER((Datos!M11-Datos!W11)/Datos!W11),(Datos!M11-Datos!W11)/Datos!W11," - ")</f>
        <v>-0.43089430894308944</v>
      </c>
      <c r="G11" s="516">
        <f>IF(ISNUMBER((Datos!N11-Datos!X11)/Datos!X11),(Datos!N11-Datos!X11)/Datos!X11," - ")</f>
        <v>0.22053231939163498</v>
      </c>
      <c r="H11" s="514">
        <f>IF(ISNUMBER(((NºAsuntos!G11/NºAsuntos!E11)-Datos!BD11)/Datos!BD11),((NºAsuntos!G11/NºAsuntos!E11)-Datos!BD11)/Datos!BD11," - ")</f>
        <v>-8.7787874823985562E-2</v>
      </c>
      <c r="I11" s="515">
        <f>IF(ISNUMBER(((NºAsuntos!I11/NºAsuntos!G11)-Datos!BE11)/Datos!BE11),((NºAsuntos!I11/NºAsuntos!G11)-Datos!BE11)/Datos!BE11," - ")</f>
        <v>5.8461315560707161E-2</v>
      </c>
      <c r="J11" s="521">
        <f>IF(ISNUMBER((('Resol  Asuntos'!D11/NºAsuntos!G11)-Datos!BF11)/Datos!BF11),(('Resol  Asuntos'!D11/NºAsuntos!G11)-Datos!BF11)/Datos!BF11," - ")</f>
        <v>-0.66391329050303738</v>
      </c>
      <c r="K11" s="522">
        <f>IF(ISNUMBER((((NºAsuntos!C11+NºAsuntos!E11)/NºAsuntos!G11)-Datos!BG11)/Datos!BG11),(((NºAsuntos!C11+NºAsuntos!E11)/NºAsuntos!G11)-Datos!BG11)/Datos!BG11," - ")</f>
        <v>-1.0117570105997535E-2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0.33333333333333331</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f>IF(ISNUMBER((Datos!N12-Datos!X12)/Datos!X12),(Datos!N12-Datos!X12)/Datos!X12," - ")</f>
        <v>0</v>
      </c>
      <c r="H12" s="514">
        <f>IF(ISNUMBER(((NºAsuntos!G12/NºAsuntos!E12)-Datos!BD12)/Datos!BD12),((NºAsuntos!G12/NºAsuntos!E12)-Datos!BD12)/Datos!BD12," - ")</f>
        <v>-0.33333333333333331</v>
      </c>
      <c r="I12" s="515">
        <f>IF(ISNUMBER(((NºAsuntos!I12/NºAsuntos!G12)-Datos!BE12)/Datos!BE12),((NºAsuntos!I12/NºAsuntos!G12)-Datos!BE12)/Datos!BE12," - ")</f>
        <v>-0.24999999999999994</v>
      </c>
      <c r="J12" s="521">
        <f>IF(ISNUMBER((('Resol  Asuntos'!D12/NºAsuntos!G12)-Datos!BF12)/Datos!BF12),(('Resol  Asuntos'!D12/NºAsuntos!G12)-Datos!BF12)/Datos!BF12," - ")</f>
        <v>-1</v>
      </c>
      <c r="K12" s="522">
        <f>IF(ISNUMBER((((NºAsuntos!C12+NºAsuntos!E12)/NºAsuntos!G12)-Datos!BG12)/Datos!BG12),(((NºAsuntos!C12+NºAsuntos!E12)/NºAsuntos!G12)-Datos!BG12)/Datos!BG12," - ")</f>
        <v>-6.2499999999999944E-2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-0.2146074646074646</v>
      </c>
      <c r="C14" s="1152">
        <f>IF(ISNUMBER(
   IF(J_V="SI",(Datos!J14-Datos!T14)/Datos!T14,(Datos!J14+Datos!Z14-(Datos!T14+Datos!AH14))/(Datos!T14+Datos!AH14))
     ),IF(J_V="SI",(Datos!J14-Datos!T14)/Datos!T14,(Datos!J14+Datos!Z14-(Datos!T14+Datos!AH14))/(Datos!T14+Datos!AH14))," - ")</f>
        <v>7.7331189710610926E-2</v>
      </c>
      <c r="D14" s="1152">
        <f>IF(ISNUMBER(
   IF(J_V="SI",(Datos!K14-Datos!U14)/Datos!U14,(Datos!K14+Datos!AA14-(Datos!U14+Datos!AI14))/(Datos!U14+Datos!AI14))
     ),IF(J_V="SI",(Datos!K14-Datos!U14)/Datos!U14,(Datos!K14+Datos!AA14-(Datos!U14+Datos!AI14))/(Datos!U14+Datos!AI14))," - ")</f>
        <v>-6.4752417228244943E-2</v>
      </c>
      <c r="E14" s="1152">
        <f>IF(ISNUMBER(
   IF(J_V="SI",(Datos!L14-Datos!V14)/Datos!V14,(Datos!L14+Datos!AB14-(Datos!V14+Datos!AJ14))/(Datos!V14+Datos!AJ14))
     ),IF(J_V="SI",(Datos!L14-Datos!V14)/Datos!V14,(Datos!L14+Datos!AB14-(Datos!V14+Datos!AJ14))/(Datos!V14+Datos!AJ14))," - ")</f>
        <v>0.12494879147890209</v>
      </c>
      <c r="F14" s="1153">
        <f>IF(ISNUMBER((Datos!M14-Datos!W14)/Datos!W14),(Datos!M14-Datos!W14)/Datos!W14," - ")</f>
        <v>-0.15617433414043583</v>
      </c>
      <c r="G14" s="1154">
        <f>IF(ISNUMBER((Datos!N14-Datos!X14)/Datos!X14),(Datos!N14-Datos!X14)/Datos!X14," - ")</f>
        <v>-1.6359206404455272E-2</v>
      </c>
      <c r="H14" s="1154">
        <f>IF(ISNUMBER(((NºAsuntos!G14/NºAsuntos!E14)-Datos!BD14)/Datos!BD14),((NºAsuntos!G14/NºAsuntos!E14)-Datos!BD14)/Datos!BD14," - ")</f>
        <v>-0.13188479856136162</v>
      </c>
      <c r="I14" s="1154">
        <f>IF(ISNUMBER(((NºAsuntos!I14/NºAsuntos!G14)-Datos!BE14)/Datos!BE14),((NºAsuntos!I14/NºAsuntos!G14)-Datos!BE14)/Datos!BE14," - ")</f>
        <v>0.20283528362076833</v>
      </c>
      <c r="J14" s="1154">
        <f>IF(ISNUMBER((('Resol  Asuntos'!D14/NºAsuntos!G14)-Datos!BF14)/Datos!BF14),(('Resol  Asuntos'!D14/NºAsuntos!G14)-Datos!BF14)/Datos!BF14," - ")</f>
        <v>-0.48029483576444593</v>
      </c>
      <c r="K14" s="1154">
        <f>IF(ISNUMBER((((NºAsuntos!C14+NºAsuntos!E14)/NºAsuntos!G14)-Datos!BG14)/Datos!BG14),(((NºAsuntos!C14+NºAsuntos!E14)/NºAsuntos!G14)-Datos!BG14)/Datos!BG14," - ")</f>
        <v>4.7915068008787087E-2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-0.23061630218687873</v>
      </c>
      <c r="C16" s="515">
        <f>IF(ISNUMBER(
   IF(D_I="SI",(Datos!J16-Datos!T16)/Datos!T16,(Datos!J16+Datos!AD16-(Datos!T16+Datos!AL16))/(Datos!T16+Datos!AL16))
     ),IF(D_I="SI",(Datos!J16-Datos!T16)/Datos!T16,(Datos!J16+Datos!AD16-(Datos!T16+Datos!AL16))/(Datos!T16+Datos!AL16))," - ")</f>
        <v>2.1739130434782608E-2</v>
      </c>
      <c r="D16" s="515">
        <f>IF(ISNUMBER(
   IF(D_I="SI",(Datos!K16-Datos!U16)/Datos!U16,(Datos!K16+Datos!AE16-(Datos!U16+Datos!AM16))/(Datos!U16+Datos!AM16))
     ),IF(D_I="SI",(Datos!K16-Datos!U16)/Datos!U16,(Datos!K16+Datos!AE16-(Datos!U16+Datos!AM16))/(Datos!U16+Datos!AM16))," - ")</f>
        <v>-1.5194681861348529E-2</v>
      </c>
      <c r="E16" s="515">
        <f>IF(ISNUMBER(
   IF(D_I="SI",(Datos!L16-Datos!V16)/Datos!V16,(Datos!L16+Datos!AF16-(Datos!V16+Datos!AN16))/(Datos!V16+Datos!AN16))
     ),IF(D_I="SI",(Datos!L16-Datos!V16)/Datos!V16,(Datos!L16+Datos!AF16-(Datos!V16+Datos!AN16))/(Datos!V16+Datos!AN16))," - ")</f>
        <v>-0.14987080103359174</v>
      </c>
      <c r="F16" s="515">
        <f>IF(ISNUMBER((Datos!M16-Datos!W16)/Datos!W16),(Datos!M16-Datos!W16)/Datos!W16," - ")</f>
        <v>2.2784810126582278E-2</v>
      </c>
      <c r="G16" s="516">
        <f>IF(ISNUMBER((Datos!N16-Datos!X16)/Datos!X16),(Datos!N16-Datos!X16)/Datos!X16," - ")</f>
        <v>-0.1101105198526402</v>
      </c>
      <c r="H16" s="514">
        <f>IF(ISNUMBER(((NºAsuntos!G16/NºAsuntos!E16)-Datos!BD16)/Datos!BD16),((NºAsuntos!G16/NºAsuntos!E16)-Datos!BD16)/Datos!BD16," - ")</f>
        <v>-3.6147986502596416E-2</v>
      </c>
      <c r="I16" s="515">
        <f>IF(ISNUMBER(((NºAsuntos!I16/NºAsuntos!G16)-Datos!BE16)/Datos!BE16),((NºAsuntos!I16/NºAsuntos!G16)-Datos!BE16)/Datos!BE16," - ")</f>
        <v>-0.1367540535085556</v>
      </c>
      <c r="J16" s="521">
        <f>IF(ISNUMBER((('Resol  Asuntos'!D16/NºAsuntos!G16)-Datos!BF16)/Datos!BF16),(('Resol  Asuntos'!D16/NºAsuntos!G16)-Datos!BF16)/Datos!BF16," - ")</f>
        <v>3.8565482221110128E-2</v>
      </c>
      <c r="K16" s="522">
        <f>IF(ISNUMBER((((NºAsuntos!C16+NºAsuntos!E16)/NºAsuntos!G16)-Datos!BG16)/Datos!BG16),(((NºAsuntos!C16+NºAsuntos!E16)/NºAsuntos!G16)-Datos!BG16)/Datos!BG16," - ")</f>
        <v>-3.4463542398588905E-2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-5.0847457627118647E-2</v>
      </c>
      <c r="C18" s="515">
        <f>IF(ISNUMBER(
   IF(D_I="SI",(Datos!J18-Datos!T18)/Datos!T18,(Datos!J18+Datos!AD18-(Datos!T18+Datos!AL18))/(Datos!T18+Datos!AL18))
     ),IF(D_I="SI",(Datos!J18-Datos!T18)/Datos!T18,(Datos!J18+Datos!AD18-(Datos!T18+Datos!AL18))/(Datos!T18+Datos!AL18))," - ")</f>
        <v>-1.2461059190031152E-2</v>
      </c>
      <c r="D18" s="515">
        <f>IF(ISNUMBER(
   IF(D_I="SI",(Datos!K18-Datos!U18)/Datos!U18,(Datos!K18+Datos!AE18-(Datos!U18+Datos!AM18))/(Datos!U18+Datos!AM18))
     ),IF(D_I="SI",(Datos!K18-Datos!U18)/Datos!U18,(Datos!K18+Datos!AE18-(Datos!U18+Datos!AM18))/(Datos!U18+Datos!AM18))," - ")</f>
        <v>1.5432098765432098E-2</v>
      </c>
      <c r="E18" s="515">
        <f>IF(ISNUMBER(
   IF(D_I="SI",(Datos!L18-Datos!V18)/Datos!V18,(Datos!L18+Datos!AF18-(Datos!V18+Datos!AN18))/(Datos!V18+Datos!AN18))
     ),IF(D_I="SI",(Datos!L18-Datos!V18)/Datos!V18,(Datos!L18+Datos!AF18-(Datos!V18+Datos!AN18))/(Datos!V18+Datos!AN18))," - ")</f>
        <v>-0.26785714285714285</v>
      </c>
      <c r="F18" s="515">
        <f>IF(ISNUMBER((Datos!M18-Datos!W18)/Datos!W18),(Datos!M18-Datos!W18)/Datos!W18," - ")</f>
        <v>-0.2</v>
      </c>
      <c r="G18" s="516">
        <f>IF(ISNUMBER((Datos!N18-Datos!X18)/Datos!X18),(Datos!N18-Datos!X18)/Datos!X18," - ")</f>
        <v>-1.3698630136986301E-2</v>
      </c>
      <c r="H18" s="514">
        <f>IF(ISNUMBER(((NºAsuntos!G18/NºAsuntos!E18)-Datos!BD18)/Datos!BD18),((NºAsuntos!G18/NºAsuntos!E18)-Datos!BD18)/Datos!BD18," - ")</f>
        <v>2.8245122093702633E-2</v>
      </c>
      <c r="I18" s="515">
        <f>IF(ISNUMBER(((NºAsuntos!I18/NºAsuntos!G18)-Datos!BE18)/Datos!BE18),((NºAsuntos!I18/NºAsuntos!G18)-Datos!BE18)/Datos!BE18," - ")</f>
        <v>-0.27898393399913152</v>
      </c>
      <c r="J18" s="521">
        <f>IF(ISNUMBER((('Resol  Asuntos'!D18/NºAsuntos!G18)-Datos!BF18)/Datos!BF18),(('Resol  Asuntos'!D18/NºAsuntos!G18)-Datos!BF18)/Datos!BF18," - ")</f>
        <v>-0.21215805471124619</v>
      </c>
      <c r="K18" s="522">
        <f>IF(ISNUMBER((((NºAsuntos!C18+NºAsuntos!E18)/NºAsuntos!G18)-Datos!BG18)/Datos!BG18),(((NºAsuntos!C18+NºAsuntos!E18)/NºAsuntos!G18)-Datos!BG18)/Datos!BG18," - ")</f>
        <v>-3.333866581347001E-2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-0.22385204081632654</v>
      </c>
      <c r="C23" s="1152">
        <f>IF(ISNUMBER(
   IF(Criterios!B14="SI",(Datos!J23-Datos!T23)/Datos!T23,(Datos!J23+Datos!AD23-(Datos!T23+Datos!AL23))/(Datos!T23+Datos!AL23))
     ),IF(Criterios!B14="SI",(Datos!J23-Datos!T23)/Datos!T23,(Datos!J23+Datos!AD23-(Datos!T23+Datos!AL23))/(Datos!T23+Datos!AL23))," - ")</f>
        <v>1.9115890083632018E-2</v>
      </c>
      <c r="D23" s="1152">
        <f>IF(ISNUMBER(
   IF(Criterios!B14="SI",(Datos!K23-Datos!U23)/Datos!U23,(Datos!K23+Datos!AE23-(Datos!U23+Datos!AM23))/(Datos!U23+Datos!AM23))
     ),IF(Criterios!B14="SI",(Datos!K23-Datos!U23)/Datos!U23,(Datos!K23+Datos!AE23-(Datos!U23+Datos!AM23))/(Datos!U23+Datos!AM23))," - ")</f>
        <v>-1.300705467372134E-2</v>
      </c>
      <c r="E23" s="1152">
        <f>IF(ISNUMBER(
   IF(Criterios!B14="SI",(Datos!L23-Datos!V23)/Datos!V23,(Datos!L23+Datos!AF23-(Datos!V23+Datos!AN23))/(Datos!V23+Datos!AN23))
     ),IF(Criterios!B14="SI",(Datos!L23-Datos!V23)/Datos!V23,(Datos!L23+Datos!AF23-(Datos!V23+Datos!AN23))/(Datos!V23+Datos!AN23))," - ")</f>
        <v>-0.1552999178307313</v>
      </c>
      <c r="F23" s="1153">
        <f>IF(ISNUMBER((Datos!M23-Datos!W23)/Datos!W23),(Datos!M23-Datos!W23)/Datos!W23," - ")</f>
        <v>1.1428571428571429E-3</v>
      </c>
      <c r="G23" s="1154">
        <f>IF(ISNUMBER((Datos!N23-Datos!X23)/Datos!X23),(Datos!N23-Datos!X23)/Datos!X23," - ")</f>
        <v>-0.10467361915797606</v>
      </c>
      <c r="H23" s="1154">
        <f>IF(ISNUMBER(((NºAsuntos!G23/NºAsuntos!E23)-Datos!BD23)/Datos!BD23),((NºAsuntos!G23/NºAsuntos!E23)-Datos!BD23)/Datos!BD23," - ")</f>
        <v>-3.1520404175738342E-2</v>
      </c>
      <c r="I23" s="1154">
        <f>IF(ISNUMBER(((NºAsuntos!I23/NºAsuntos!G23)-Datos!BE23)/Datos!BE23),((NºAsuntos!I23/NºAsuntos!G23)-Datos!BE23)/Datos!BE23," - ")</f>
        <v>-0.14416806506146909</v>
      </c>
      <c r="J23" s="1154">
        <f>IF(ISNUMBER((('Resol  Asuntos'!D23/NºAsuntos!G23)-Datos!BF23)/Datos!BF23),(('Resol  Asuntos'!D23/NºAsuntos!G23)-Datos!BF23)/Datos!BF23," - ")</f>
        <v>1.4336385972749595E-2</v>
      </c>
      <c r="K23" s="1154">
        <f>IF(ISNUMBER((((NºAsuntos!C23+NºAsuntos!E23)/NºAsuntos!G23)-Datos!BG23)/Datos!BG23),(((NºAsuntos!C23+NºAsuntos!E23)/NºAsuntos!G23)-Datos!BG23)/Datos!BG23," - ")</f>
        <v>-3.4548173116193001E-2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-0.21770744225834046</v>
      </c>
      <c r="C31" s="1092">
        <f>IF(ISNUMBER(
   IF(J_V="SI",(Datos!J31-Datos!T31)/Datos!T31,(Datos!J31+Datos!Z31-(Datos!T31+Datos!AH31))/(Datos!T31+Datos!AH31))
     ),IF(J_V="SI",(Datos!J31-Datos!T31)/Datos!T31,(Datos!J31+Datos!Z31-(Datos!T31+Datos!AH31))/(Datos!T31+Datos!AH31))," - ")</f>
        <v>5.3916386352715041E-2</v>
      </c>
      <c r="D31" s="1092">
        <f>IF(ISNUMBER(
   IF(J_V="SI",(Datos!K31-Datos!U31)/Datos!U31,(Datos!K31+Datos!AA31-(Datos!U31+Datos!AI31))/(Datos!U31+Datos!AI31))
     ),IF(J_V="SI",(Datos!K31-Datos!U31)/Datos!U31,(Datos!K31+Datos!AA31-(Datos!U31+Datos!AI31))/(Datos!U31+Datos!AI31))," - ")</f>
        <v>-4.4094349586340433E-2</v>
      </c>
      <c r="E31" s="1092">
        <f>IF(ISNUMBER(
   IF(J_V="SI",(Datos!L31-Datos!V31)/Datos!V31,(Datos!L31+Datos!AB31-(Datos!V31+Datos!AJ31))/(Datos!V31+Datos!AJ31))
     ),IF(J_V="SI",(Datos!L31-Datos!V31)/Datos!V31,(Datos!L31+Datos!AB31-(Datos!V31+Datos!AJ31))/(Datos!V31+Datos!AJ31))," - ")</f>
        <v>3.1711317659923452E-2</v>
      </c>
      <c r="F31" s="1093">
        <f>IF(ISNUMBER((Datos!M31-Datos!W31)/Datos!W31),(Datos!M31-Datos!W31)/Datos!W31," - ")</f>
        <v>-0.10170162247724575</v>
      </c>
      <c r="G31" s="1094">
        <f>IF(ISNUMBER((Datos!N31-Datos!X31)/Datos!X31),(Datos!N31-Datos!X31)/Datos!X31," - ")</f>
        <v>-5.8220432076162579E-2</v>
      </c>
      <c r="H31" s="1095">
        <f>IF(ISNUMBER((Tasas!B31-Datos!BD31)/Datos!BD31),(Tasas!B31-Datos!BD31)/Datos!BD31," - ")</f>
        <v>-9.2996690447371105E-2</v>
      </c>
      <c r="I31" s="1096">
        <f>IF(ISNUMBER((Tasas!C31-Datos!BE31)/Datos!BE31),(Tasas!C31-Datos!BE31)/Datos!BE31," - ")</f>
        <v>7.9302457531723672E-2</v>
      </c>
      <c r="J31" s="1097">
        <f>IF(ISNUMBER((Tasas!D31-Datos!BF31)/Datos!BF31),(Tasas!D31-Datos!BF31)/Datos!BF31," - ")</f>
        <v>-0.36555935010798662</v>
      </c>
      <c r="K31" s="1097">
        <f>IF(ISNUMBER((Tasas!E31-Datos!BG31)/Datos!BG31),(Tasas!E31-Datos!BG31)/Datos!BG31," - ")</f>
        <v>1.442749007429962E-2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lQnxyiQGhkkY4VFGOwOAaEx6ugapIibWLpx3DsHvahTxtM8tcOl1VT1O3u1qgg+SSk53++psN8Lpsoz+1WLhg==" saltValue="exSQjIxuahk0dhb16Cxt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PONTEVEDRA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0.95010101010101011</v>
      </c>
      <c r="C9" s="498">
        <f>IF(ISNUMBER(NºAsuntos!I9/NºAsuntos!G9),NºAsuntos!I9/NºAsuntos!G9," - ")</f>
        <v>0.46714862853497768</v>
      </c>
      <c r="D9" s="499">
        <f>IF(ISNUMBER('Resol  Asuntos'!D9/NºAsuntos!G9),'Resol  Asuntos'!D9/NºAsuntos!G9," - ")</f>
        <v>0.23112906655326387</v>
      </c>
      <c r="E9" s="500">
        <f>IF(ISNUMBER((NºAsuntos!C9+NºAsuntos!E9)/NºAsuntos!G9),(NºAsuntos!C9+NºAsuntos!E9)/NºAsuntos!G9," - ")</f>
        <v>1.4665107378269191</v>
      </c>
      <c r="G9" s="523"/>
    </row>
    <row r="10" spans="1:7">
      <c r="A10" s="450" t="str">
        <f>Datos!A10</f>
        <v>Jdos. Violencia contra la mujer</v>
      </c>
      <c r="B10" s="497">
        <f>IF(ISNUMBER(NºAsuntos!G10/NºAsuntos!E10),NºAsuntos!G10/NºAsuntos!E10," - ")</f>
        <v>0.92982456140350878</v>
      </c>
      <c r="C10" s="498">
        <f>IF(ISNUMBER(NºAsuntos!I10/NºAsuntos!G10),NºAsuntos!I10/NºAsuntos!G10," - ")</f>
        <v>0.660377358490566</v>
      </c>
      <c r="D10" s="499">
        <f>IF(ISNUMBER('Resol  Asuntos'!D10/NºAsuntos!G10),'Resol  Asuntos'!D10/NºAsuntos!G10," - ")</f>
        <v>0.50943396226415094</v>
      </c>
      <c r="E10" s="500">
        <f>IF(ISNUMBER((NºAsuntos!C10+NºAsuntos!E10)/NºAsuntos!G10),(NºAsuntos!C10+NºAsuntos!E10)/NºAsuntos!G10," - ")</f>
        <v>1.7169811320754718</v>
      </c>
      <c r="G10" s="523"/>
    </row>
    <row r="11" spans="1:7">
      <c r="A11" s="450" t="str">
        <f>Datos!A11</f>
        <v xml:space="preserve">Jdos. Familia                                   </v>
      </c>
      <c r="B11" s="497">
        <f>IF(ISNUMBER(NºAsuntos!G11/NºAsuntos!E11),NºAsuntos!G11/NºAsuntos!E11," - ")</f>
        <v>0.96094674556213022</v>
      </c>
      <c r="C11" s="498">
        <f>IF(ISNUMBER(NºAsuntos!I11/NºAsuntos!G11),NºAsuntos!I11/NºAsuntos!G11," - ")</f>
        <v>0.31588669950738918</v>
      </c>
      <c r="D11" s="499">
        <f>IF(ISNUMBER('Resol  Asuntos'!D11/NºAsuntos!G11),'Resol  Asuntos'!D11/NºAsuntos!G11," - ")</f>
        <v>0.17241379310344829</v>
      </c>
      <c r="E11" s="500">
        <f>IF(ISNUMBER((NºAsuntos!C11+NºAsuntos!E11)/NºAsuntos!G11),(NºAsuntos!C11+NºAsuntos!E11)/NºAsuntos!G11," - ")</f>
        <v>1.3232758620689655</v>
      </c>
      <c r="G11" s="523"/>
    </row>
    <row r="12" spans="1:7">
      <c r="A12" s="450" t="str">
        <f>Datos!A12</f>
        <v xml:space="preserve">Jdos. 1ª Instª. e Instr.                        </v>
      </c>
      <c r="B12" s="497">
        <f>IF(ISNUMBER(NºAsuntos!G12/NºAsuntos!E12),NºAsuntos!G12/NºAsuntos!E12," - ")</f>
        <v>1</v>
      </c>
      <c r="C12" s="498">
        <f>IF(ISNUMBER(NºAsuntos!I12/NºAsuntos!G12),NºAsuntos!I12/NºAsuntos!G12," - ")</f>
        <v>0.25</v>
      </c>
      <c r="D12" s="499">
        <f>IF(ISNUMBER('Resol  Asuntos'!D12/NºAsuntos!G12),'Resol  Asuntos'!D12/NºAsuntos!G12," - ")</f>
        <v>0</v>
      </c>
      <c r="E12" s="500">
        <f>IF(ISNUMBER((NºAsuntos!C12+NºAsuntos!E12)/NºAsuntos!G12),(NºAsuntos!C12+NºAsuntos!E12)/NºAsuntos!G12," - ")</f>
        <v>1.25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0.95269362781674372</v>
      </c>
      <c r="C14" s="1156">
        <f>IF(ISNUMBER(NºAsuntos!I14/NºAsuntos!G14),NºAsuntos!I14/NºAsuntos!G14," - ")</f>
        <v>0.43013784461152882</v>
      </c>
      <c r="D14" s="1157">
        <f>IF(ISNUMBER('Resol  Asuntos'!D14/NºAsuntos!G14),'Resol  Asuntos'!D14/NºAsuntos!G14," - ")</f>
        <v>0.21835839598997495</v>
      </c>
      <c r="E14" s="1158">
        <f>IF(ISNUMBER((NºAsuntos!C14+NºAsuntos!E14)/NºAsuntos!G14),(NºAsuntos!C14+NºAsuntos!E14)/NºAsuntos!G14," - ")</f>
        <v>1.4320175438596492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1.0506585612968591</v>
      </c>
      <c r="C16" s="498">
        <f>IF(ISNUMBER(NºAsuntos!I16/NºAsuntos!G16),NºAsuntos!I16/NºAsuntos!G16," - ")</f>
        <v>0.23794599807135969</v>
      </c>
      <c r="D16" s="499">
        <f>IF(ISNUMBER('Resol  Asuntos'!D16/NºAsuntos!G16),'Resol  Asuntos'!D16/NºAsuntos!G16," - ")</f>
        <v>0.19479267116682739</v>
      </c>
      <c r="E16" s="500">
        <f>IF(ISNUMBER((NºAsuntos!C16+NºAsuntos!E16)/NºAsuntos!G16),(NºAsuntos!C16+NºAsuntos!E16)/NºAsuntos!G16," - ")</f>
        <v>1.2316779170684666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1.0378548895899053</v>
      </c>
      <c r="C18" s="498">
        <f>IF(ISNUMBER(NºAsuntos!I18/NºAsuntos!G18),NºAsuntos!I18/NºAsuntos!G18," - ")</f>
        <v>0.12462006079027356</v>
      </c>
      <c r="D18" s="499">
        <f>IF(ISNUMBER('Resol  Asuntos'!D18/NºAsuntos!G18),'Resol  Asuntos'!D18/NºAsuntos!G18," - ")</f>
        <v>0.20668693009118541</v>
      </c>
      <c r="E18" s="500">
        <f>IF(ISNUMBER((NºAsuntos!C18+NºAsuntos!E18)/NºAsuntos!G18),(NºAsuntos!C18+NºAsuntos!E18)/NºAsuntos!G18," - ")</f>
        <v>1.1337386018237081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1.0497069167643611</v>
      </c>
      <c r="C23" s="1156">
        <f>IF(ISNUMBER(NºAsuntos!I23/NºAsuntos!G23),NºAsuntos!I23/NºAsuntos!G23," - ")</f>
        <v>0.22961804779986597</v>
      </c>
      <c r="D23" s="1159">
        <f>IF(ISNUMBER('Resol  Asuntos'!D23/NºAsuntos!G23),'Resol  Asuntos'!D23/NºAsuntos!G23," - ")</f>
        <v>0.19566674112128657</v>
      </c>
      <c r="E23" s="1158">
        <f>IF(ISNUMBER((NºAsuntos!C23+NºAsuntos!E23)/NºAsuntos!G23),(NºAsuntos!C23+NºAsuntos!E23)/NºAsuntos!G23," - ")</f>
        <v>1.2244806790261336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0.99042494984497542</v>
      </c>
      <c r="C31" s="1099">
        <f>IF(ISNUMBER(NºAsuntos!I31/NºAsuntos!G31),NºAsuntos!I31/NºAsuntos!G31," - ")</f>
        <v>0.34748181567074854</v>
      </c>
      <c r="D31" s="1100">
        <f>IF(ISNUMBER('Resol  Asuntos'!D31/NºAsuntos!G31),'Resol  Asuntos'!D31/NºAsuntos!G31," - ")</f>
        <v>0.20900469570021177</v>
      </c>
      <c r="E31" s="1101">
        <f>IF(ISNUMBER((NºAsuntos!C31+NºAsuntos!E31)/NºAsuntos!G31),(NºAsuntos!C31+NºAsuntos!E31)/NºAsuntos!G31," - ")</f>
        <v>1.3464690175858576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mM5Q0RjpmVpx8zNDXfzlyuUe9MiVcsvX4yOA0HFrsJpUX9GCp3wQtfkFlCIDSZiC7Jxuh78rUorCOqLcrswkg==" saltValue="y4aW9yIMltv3QN2koCck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PONTEVEDRA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461</v>
      </c>
      <c r="B5" s="297"/>
      <c r="C5" s="1671" t="str">
        <f>"Año:  " &amp;Criterios!B$5 &amp; "          Trimestre   " &amp;Criterios!D$5 &amp; " al " &amp;Criterios!D$6</f>
        <v>Año:  2022          Trimestre   1 al 4</v>
      </c>
      <c r="D5" s="1641" t="s">
        <v>487</v>
      </c>
      <c r="E5" s="1641" t="s">
        <v>410</v>
      </c>
      <c r="F5" s="1673" t="s">
        <v>523</v>
      </c>
      <c r="G5" s="1676" t="s">
        <v>173</v>
      </c>
      <c r="H5" s="1632" t="s">
        <v>217</v>
      </c>
      <c r="I5" s="1632" t="s">
        <v>221</v>
      </c>
      <c r="J5" s="1632" t="s">
        <v>222</v>
      </c>
      <c r="K5" s="1632" t="s">
        <v>524</v>
      </c>
      <c r="L5" s="1632" t="s">
        <v>780</v>
      </c>
      <c r="M5" s="1632" t="s">
        <v>416</v>
      </c>
      <c r="N5" s="1632" t="s">
        <v>488</v>
      </c>
      <c r="O5" s="1632" t="s">
        <v>526</v>
      </c>
      <c r="P5" s="1632" t="s">
        <v>220</v>
      </c>
      <c r="Q5" s="1632" t="s">
        <v>59</v>
      </c>
      <c r="R5" s="1647" t="s">
        <v>223</v>
      </c>
      <c r="S5" s="1650" t="s">
        <v>226</v>
      </c>
      <c r="T5" s="1638" t="s">
        <v>227</v>
      </c>
      <c r="U5" s="1635" t="s">
        <v>228</v>
      </c>
      <c r="V5" s="1662" t="s">
        <v>414</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318</v>
      </c>
      <c r="AK5" s="1644" t="s">
        <v>319</v>
      </c>
      <c r="AL5" s="1641" t="s">
        <v>320</v>
      </c>
      <c r="AM5" s="1641" t="s">
        <v>469</v>
      </c>
      <c r="AN5" s="1641" t="s">
        <v>321</v>
      </c>
      <c r="AO5" s="1641" t="s">
        <v>322</v>
      </c>
      <c r="AP5" s="1641" t="s">
        <v>383</v>
      </c>
      <c r="AQ5" s="1641" t="s">
        <v>241</v>
      </c>
      <c r="AR5" s="1641" t="s">
        <v>242</v>
      </c>
      <c r="AS5" s="1641" t="s">
        <v>499</v>
      </c>
      <c r="AT5" s="1641" t="s">
        <v>372</v>
      </c>
      <c r="AU5" s="1641" t="s">
        <v>373</v>
      </c>
      <c r="AV5" s="1641" t="s">
        <v>432</v>
      </c>
      <c r="AW5" s="1641" t="s">
        <v>1120</v>
      </c>
      <c r="AX5" s="1641" t="s">
        <v>415</v>
      </c>
      <c r="AY5" s="1641" t="s">
        <v>1003</v>
      </c>
      <c r="AZ5" s="1641" t="s">
        <v>1004</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317</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1263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1783</v>
      </c>
      <c r="Y9" s="374">
        <f>SUM(W9:X9)</f>
        <v>1783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3931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1087</v>
      </c>
      <c r="AJ9" s="243" t="str">
        <f>IF(ISNUMBER(Datos!BW9),Datos!BW9," - ")</f>
        <v xml:space="preserve"> - </v>
      </c>
      <c r="AK9" s="242" t="str">
        <f>IF(ISNUMBER(Datos!BX9),Datos!BX9," - ")</f>
        <v xml:space="preserve"> - </v>
      </c>
      <c r="AL9" s="266">
        <f>IF(ISNUMBER(NºAsuntos!G9/NºAsuntos!E9),NºAsuntos!G9/NºAsuntos!E9," - ")</f>
        <v>0.95010101010101011</v>
      </c>
      <c r="AM9" s="284">
        <f>IF(ISNUMBER(((NºAsuntos!I9/NºAsuntos!G9)*11)/factor_trimestre),((NºAsuntos!I9/NºAsuntos!G9)*11)/factor_trimestre," - ")</f>
        <v>5.1386349138847542</v>
      </c>
      <c r="AN9" s="267">
        <f>IF(ISNUMBER('Resol  Asuntos'!D9/NºAsuntos!G9),'Resol  Asuntos'!D9/NºAsuntos!G9," - ")</f>
        <v>0.23112906655326387</v>
      </c>
      <c r="AO9" s="268">
        <f>IF(ISNUMBER((NºAsuntos!C9+NºAsuntos!E9)/NºAsuntos!G9),(NºAsuntos!C9+NºAsuntos!E9)/NºAsuntos!G9," - ")</f>
        <v>1.4665107378269191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31</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53</v>
      </c>
      <c r="X10" s="240">
        <f>IF(ISNUMBER(Datos!Q10),Datos!Q10," - ")</f>
        <v>13</v>
      </c>
      <c r="Y10" s="374">
        <f t="shared" ref="Y10:Y13" si="0">SUM(W10:X10)</f>
        <v>66</v>
      </c>
      <c r="Z10" s="375" t="str">
        <f>IF(ISNUMBER(Datos!CC10),Datos!CC10," - ")</f>
        <v xml:space="preserve"> - </v>
      </c>
      <c r="AA10" s="372">
        <f>IF(ISNUMBER(Datos!L10),Datos!L10,"-")</f>
        <v>35</v>
      </c>
      <c r="AB10" s="374">
        <f>IF(ISNUMBER(Datos!R10),Datos!R10," - ")</f>
        <v>69</v>
      </c>
      <c r="AC10" s="374">
        <f t="shared" ref="AC10:AC13" si="1">IF(ISNUMBER(AA10+AB10),AA10+AB10," - ")</f>
        <v>104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0.92982456140350878</v>
      </c>
      <c r="AM10" s="284">
        <f>IF(ISNUMBER(((NºAsuntos!I10/NºAsuntos!G10)*11)/factor_trimestre),((NºAsuntos!I10/NºAsuntos!G10)*11)/factor_trimestre," - ")</f>
        <v>7.2641509433962259</v>
      </c>
      <c r="AN10" s="267">
        <f>IF(ISNUMBER('Resol  Asuntos'!D10/NºAsuntos!G10),'Resol  Asuntos'!D10/NºAsuntos!G10," - ")</f>
        <v>0.50943396226415094</v>
      </c>
      <c r="AO10" s="268">
        <f>IF(ISNUMBER((NºAsuntos!C10+NºAsuntos!E10)/NºAsuntos!G10),(NºAsuntos!C10+NºAsuntos!E10)/NºAsuntos!G10," - ")</f>
        <v>1.7169811320754718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148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379</v>
      </c>
      <c r="Y11" s="374">
        <f t="shared" si="0"/>
        <v>379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356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280</v>
      </c>
      <c r="AJ11" s="245" t="str">
        <f>IF(ISNUMBER(Datos!BW11),Datos!BW11," - ")</f>
        <v xml:space="preserve"> - </v>
      </c>
      <c r="AK11" s="246" t="str">
        <f>IF(ISNUMBER(Datos!BX11),Datos!BX11," - ")</f>
        <v xml:space="preserve"> - </v>
      </c>
      <c r="AL11" s="266">
        <f>IF(ISNUMBER(NºAsuntos!G11/NºAsuntos!E11),NºAsuntos!G11/NºAsuntos!E11," - ")</f>
        <v>0.96094674556213022</v>
      </c>
      <c r="AM11" s="284">
        <f>IF(ISNUMBER(((NºAsuntos!I11/NºAsuntos!G11)*11)/factor_trimestre),((NºAsuntos!I11/NºAsuntos!G11)*11)/factor_trimestre," - ")</f>
        <v>3.4747536945812811</v>
      </c>
      <c r="AN11" s="267">
        <f>IF(ISNUMBER('Resol  Asuntos'!D11/NºAsuntos!G11),'Resol  Asuntos'!D11/NºAsuntos!G11," - ")</f>
        <v>0.17241379310344829</v>
      </c>
      <c r="AO11" s="268">
        <f>IF(ISNUMBER((NºAsuntos!C11+NºAsuntos!E11)/NºAsuntos!G11),(NºAsuntos!C11+NºAsuntos!E11)/NºAsuntos!G11," - ")</f>
        <v>1.3232758620689655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2.75</v>
      </c>
      <c r="AN12" s="267">
        <f>IF(ISNUMBER('Resol  Asuntos'!D12/NºAsuntos!G12),'Resol  Asuntos'!D12/NºAsuntos!G12," - ")</f>
        <v>0</v>
      </c>
      <c r="AO12" s="268">
        <f>IF(ISNUMBER((NºAsuntos!C12+NºAsuntos!E12)/NºAsuntos!G12),(NºAsuntos!C12+NºAsuntos!E12)/NºAsuntos!G12," - ")</f>
        <v>1.25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31</v>
      </c>
      <c r="G14" s="1163">
        <f t="shared" si="5"/>
        <v>34</v>
      </c>
      <c r="H14" s="1162">
        <f t="shared" si="5"/>
        <v>0</v>
      </c>
      <c r="I14" s="1164">
        <f t="shared" si="5"/>
        <v>0</v>
      </c>
      <c r="J14" s="1164">
        <f t="shared" si="5"/>
        <v>0</v>
      </c>
      <c r="K14" s="1164">
        <f t="shared" si="5"/>
        <v>0</v>
      </c>
      <c r="L14" s="1164">
        <f t="shared" si="5"/>
        <v>1428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53</v>
      </c>
      <c r="X14" s="1164">
        <f t="shared" si="6"/>
        <v>2186</v>
      </c>
      <c r="Y14" s="1165">
        <f t="shared" si="6"/>
        <v>2239</v>
      </c>
      <c r="Z14" s="1165">
        <f t="shared" si="6"/>
        <v>0</v>
      </c>
      <c r="AA14" s="1165">
        <f t="shared" si="6"/>
        <v>35</v>
      </c>
      <c r="AB14" s="1165">
        <f t="shared" si="6"/>
        <v>4514</v>
      </c>
      <c r="AC14" s="1165">
        <f t="shared" si="6"/>
        <v>104</v>
      </c>
      <c r="AD14" s="1165">
        <f t="shared" si="6"/>
        <v>0</v>
      </c>
      <c r="AE14" s="1169">
        <f t="shared" si="6"/>
        <v>0</v>
      </c>
      <c r="AF14" s="1162">
        <f t="shared" si="6"/>
        <v>0</v>
      </c>
      <c r="AG14" s="1170">
        <f t="shared" si="6"/>
        <v>0</v>
      </c>
      <c r="AH14" s="1167">
        <f t="shared" si="6"/>
        <v>0</v>
      </c>
      <c r="AI14" s="1162">
        <f t="shared" si="6"/>
        <v>1394</v>
      </c>
      <c r="AJ14" s="1164">
        <f t="shared" si="6"/>
        <v>0</v>
      </c>
      <c r="AK14" s="1167">
        <f>SUBTOTAL(9,AK9:AK13)</f>
        <v>0</v>
      </c>
      <c r="AL14" s="1171">
        <f>IF(ISNUMBER(NºAsuntos!G14/NºAsuntos!E14),NºAsuntos!G14/NºAsuntos!E14," - ")</f>
        <v>0.95269362781674372</v>
      </c>
      <c r="AM14" s="1171">
        <f>IF(ISNUMBER(((NºAsuntos!I14/NºAsuntos!G14)*11)/factor_trimestre),((NºAsuntos!I14/NºAsuntos!G14)*11)/factor_trimestre," - ")</f>
        <v>4.7315162907268169</v>
      </c>
      <c r="AN14" s="1172">
        <f>IF(ISNUMBER('Resol  Asuntos'!D14/NºAsuntos!G14),'Resol  Asuntos'!D14/NºAsuntos!G14," - ")</f>
        <v>0.21835839598997495</v>
      </c>
      <c r="AO14" s="1173">
        <f>IF(ISNUMBER((NºAsuntos!C14+NºAsuntos!E14)/NºAsuntos!G14),(NºAsuntos!C14+NºAsuntos!E14)/NºAsuntos!G14," - ")</f>
        <v>1.4320175438596492</v>
      </c>
      <c r="AP14" s="1174" t="str">
        <f t="shared" si="2"/>
        <v xml:space="preserve"> - </v>
      </c>
      <c r="AQ14" s="1174">
        <f>IF(ISNUMBER((H14-W14+K14)/(F14)),(H14-W14+K14)/(F14)," - ")</f>
        <v>-1.7096774193548387</v>
      </c>
      <c r="AR14" s="1175">
        <f>IF(ISNUMBER((Datos!P14-Datos!Q14)/(Datos!R14-Datos!P14+Datos!Q14)),(Datos!P14-Datos!Q14)/(Datos!R14-Datos!P14+Datos!Q14)," - ")</f>
        <v>-0.1437784522003035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507</v>
      </c>
      <c r="C16" s="173" t="str">
        <f>Datos!A16</f>
        <v xml:space="preserve">Jdos. Instrucción                               </v>
      </c>
      <c r="D16" s="173"/>
      <c r="E16" s="1402">
        <f>IF(ISNUMBER(Datos!AQ16),Datos!AQ16," - ")</f>
        <v>3</v>
      </c>
      <c r="F16" s="239">
        <f>IF(ISNUMBER(AA16+W16-Datos!J16-K16),AA16+W16-Datos!J16-K16," - ")</f>
        <v>1187</v>
      </c>
      <c r="G16" s="373">
        <f>IF(ISNUMBER(IF(D_I="SI",Datos!I16,Datos!I16+Datos!AC16)),IF(D_I="SI",Datos!I16,Datos!I16+Datos!AC16)," - ")</f>
        <v>1161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252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4148</v>
      </c>
      <c r="X16" s="240">
        <f>IF(ISNUMBER(Datos!Q16),Datos!Q16," - ")</f>
        <v>287</v>
      </c>
      <c r="Y16" s="374">
        <f>SUM(W16)</f>
        <v>4148</v>
      </c>
      <c r="Z16" s="375" t="str">
        <f>IF(ISNUMBER(Datos!CC16),Datos!CC16," - ")</f>
        <v xml:space="preserve"> - </v>
      </c>
      <c r="AA16" s="372">
        <f>IF(ISNUMBER(IF(D_I="SI",Datos!L16,Datos!L16+Datos!AF16)),IF(D_I="SI",Datos!L16,Datos!L16+Datos!AF16)," - ")</f>
        <v>987</v>
      </c>
      <c r="AB16" s="374">
        <f>IF(ISNUMBER(Datos!R16),Datos!R16," - ")</f>
        <v>308</v>
      </c>
      <c r="AC16" s="374">
        <f t="shared" ref="AC16:AC22" si="8">IF(ISNUMBER(AA16+AB16),AA16+AB16," - ")</f>
        <v>1295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808</v>
      </c>
      <c r="AJ16" s="245" t="str">
        <f>IF(ISNUMBER(Datos!BW16),Datos!BW16," - ")</f>
        <v xml:space="preserve"> - </v>
      </c>
      <c r="AK16" s="246" t="str">
        <f>IF(ISNUMBER(Datos!BX16),Datos!BX16," - ")</f>
        <v xml:space="preserve"> - </v>
      </c>
      <c r="AL16" s="266">
        <f>IF(ISNUMBER(NºAsuntos!G16/NºAsuntos!E16),NºAsuntos!G16/NºAsuntos!E16," - ")</f>
        <v>1.0506585612968591</v>
      </c>
      <c r="AM16" s="284">
        <f>IF(ISNUMBER(((NºAsuntos!I16/NºAsuntos!G16)*11)/factor_trimestre),((NºAsuntos!I16/NºAsuntos!G16)*11)/factor_trimestre," - ")</f>
        <v>2.6174059787849564</v>
      </c>
      <c r="AN16" s="267">
        <f>IF(ISNUMBER('Resol  Asuntos'!D16/NºAsuntos!G16),'Resol  Asuntos'!D16/NºAsuntos!G16," - ")</f>
        <v>0.19479267116682739</v>
      </c>
      <c r="AO16" s="268">
        <f>IF(ISNUMBER((NºAsuntos!C16+NºAsuntos!E16)/NºAsuntos!G16),(NºAsuntos!C16+NºAsuntos!E16)/NºAsuntos!G16," - ")</f>
        <v>1.2316779170684666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329</v>
      </c>
      <c r="X18" s="240">
        <f>IF(ISNUMBER(Datos!Q18),Datos!Q18," - ")</f>
        <v>6</v>
      </c>
      <c r="Y18" s="374">
        <f t="shared" si="9"/>
        <v>335</v>
      </c>
      <c r="Z18" s="375" t="str">
        <f>IF(ISNUMBER(Datos!CC18),Datos!CC18," - ")</f>
        <v xml:space="preserve"> - </v>
      </c>
      <c r="AA18" s="372">
        <f>IF(ISNUMBER(Datos!L18),Datos!L18,"-")</f>
        <v>41</v>
      </c>
      <c r="AB18" s="374">
        <f>IF(ISNUMBER(Datos!R18),Datos!R18," - ")</f>
        <v>2</v>
      </c>
      <c r="AC18" s="374">
        <f t="shared" si="8"/>
        <v>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68</v>
      </c>
      <c r="AJ18" s="245" t="str">
        <f>IF(ISNUMBER(Datos!BW18),Datos!BW18," - ")</f>
        <v xml:space="preserve"> - </v>
      </c>
      <c r="AK18" s="246" t="str">
        <f>IF(ISNUMBER(Datos!BX18),Datos!BX18," - ")</f>
        <v xml:space="preserve"> - </v>
      </c>
      <c r="AL18" s="266">
        <f>IF(ISNUMBER(NºAsuntos!G18/NºAsuntos!E18),NºAsuntos!G18/NºAsuntos!E18," - ")</f>
        <v>1.0378548895899053</v>
      </c>
      <c r="AM18" s="284">
        <f>IF(ISNUMBER(((NºAsuntos!I18/NºAsuntos!G18)*11)/factor_trimestre),((NºAsuntos!I18/NºAsuntos!G18)*11)/factor_trimestre," - ")</f>
        <v>1.3708206686930091</v>
      </c>
      <c r="AN18" s="267">
        <f>IF(ISNUMBER('Resol  Asuntos'!D18/NºAsuntos!G18),'Resol  Asuntos'!D18/NºAsuntos!G18," - ")</f>
        <v>0.20668693009118541</v>
      </c>
      <c r="AO18" s="268">
        <f>IF(ISNUMBER((NºAsuntos!C18+NºAsuntos!E18)/NºAsuntos!G18),(NºAsuntos!C18+NºAsuntos!E18)/NºAsuntos!G18," - ")</f>
        <v>1.1337386018237081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1187</v>
      </c>
      <c r="G23" s="1163">
        <f>SUBTOTAL(9,G16:G22)</f>
        <v>1217</v>
      </c>
      <c r="H23" s="1162">
        <f t="shared" ref="H23:O23" si="13">SUBTOTAL(9,H15:H22)</f>
        <v>0</v>
      </c>
      <c r="I23" s="1164">
        <f t="shared" si="13"/>
        <v>0</v>
      </c>
      <c r="J23" s="1164">
        <f t="shared" si="13"/>
        <v>0</v>
      </c>
      <c r="K23" s="1164">
        <f t="shared" si="13"/>
        <v>0</v>
      </c>
      <c r="L23" s="1164">
        <f t="shared" si="13"/>
        <v>257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4477</v>
      </c>
      <c r="X23" s="1164">
        <f t="shared" si="14"/>
        <v>293</v>
      </c>
      <c r="Y23" s="1165">
        <f t="shared" si="14"/>
        <v>4483</v>
      </c>
      <c r="Z23" s="1165">
        <f t="shared" si="14"/>
        <v>0</v>
      </c>
      <c r="AA23" s="1165">
        <f t="shared" si="14"/>
        <v>1028</v>
      </c>
      <c r="AB23" s="1165">
        <f t="shared" si="14"/>
        <v>310</v>
      </c>
      <c r="AC23" s="1165">
        <f t="shared" si="14"/>
        <v>1338</v>
      </c>
      <c r="AD23" s="1165">
        <f t="shared" si="14"/>
        <v>0</v>
      </c>
      <c r="AE23" s="1169">
        <f t="shared" si="14"/>
        <v>0</v>
      </c>
      <c r="AF23" s="1162">
        <f t="shared" si="14"/>
        <v>0</v>
      </c>
      <c r="AG23" s="1170">
        <f t="shared" si="14"/>
        <v>0</v>
      </c>
      <c r="AH23" s="1167">
        <f t="shared" si="14"/>
        <v>0</v>
      </c>
      <c r="AI23" s="1162">
        <f t="shared" si="14"/>
        <v>876</v>
      </c>
      <c r="AJ23" s="1164">
        <f t="shared" si="14"/>
        <v>0</v>
      </c>
      <c r="AK23" s="1167">
        <f t="shared" si="14"/>
        <v>0</v>
      </c>
      <c r="AL23" s="1171">
        <f>IF(ISNUMBER(NºAsuntos!G23/NºAsuntos!E23),NºAsuntos!G23/NºAsuntos!E23," - ")</f>
        <v>1.0497069167643611</v>
      </c>
      <c r="AM23" s="1171">
        <f>IF(ISNUMBER(((NºAsuntos!I23/NºAsuntos!G23)*11)/factor_trimestre),((NºAsuntos!I23/NºAsuntos!G23)*11)/factor_trimestre," - ")</f>
        <v>2.5257985257985256</v>
      </c>
      <c r="AN23" s="1172">
        <f>IF(ISNUMBER('Resol  Asuntos'!D23/NºAsuntos!G23),'Resol  Asuntos'!D23/NºAsuntos!G23," - ")</f>
        <v>0.19566674112128657</v>
      </c>
      <c r="AO23" s="1173">
        <f>IF(ISNUMBER((NºAsuntos!C23+NºAsuntos!E23)/NºAsuntos!G23),(NºAsuntos!C23+NºAsuntos!E23)/NºAsuntos!G23," - ")</f>
        <v>1.2244806790261336</v>
      </c>
      <c r="AP23" s="1174" t="str">
        <f t="shared" si="2"/>
        <v xml:space="preserve"> - </v>
      </c>
      <c r="AQ23" s="1174">
        <f>IF(ISNUMBER((H23-W23+K23)/(F23)),(H23-W23+K23)/(F23)," - ")</f>
        <v>-3.7716933445661329</v>
      </c>
      <c r="AR23" s="1175">
        <f>IF(ISNUMBER((Datos!P23-Datos!Q23)/(Datos!R23-Datos!P23+Datos!Q23)),(Datos!P23-Datos!Q23)/(Datos!R23-Datos!P23+Datos!Q23)," - ")</f>
        <v>-0.10404624277456648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1218</v>
      </c>
      <c r="G31" s="1118">
        <f t="shared" si="20"/>
        <v>1251</v>
      </c>
      <c r="H31" s="1117">
        <f t="shared" si="20"/>
        <v>0</v>
      </c>
      <c r="I31" s="1119">
        <f t="shared" si="20"/>
        <v>0</v>
      </c>
      <c r="J31" s="1119">
        <f t="shared" si="20"/>
        <v>0</v>
      </c>
      <c r="K31" s="1180">
        <f t="shared" si="20"/>
        <v>0</v>
      </c>
      <c r="L31" s="1119">
        <f t="shared" si="20"/>
        <v>1685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4530</v>
      </c>
      <c r="X31" s="1118">
        <f t="shared" si="21"/>
        <v>2479</v>
      </c>
      <c r="Y31" s="1125">
        <f t="shared" si="21"/>
        <v>6722</v>
      </c>
      <c r="Z31" s="1125">
        <f t="shared" si="21"/>
        <v>0</v>
      </c>
      <c r="AA31" s="1125">
        <f t="shared" si="21"/>
        <v>1063</v>
      </c>
      <c r="AB31" s="1125">
        <f t="shared" si="21"/>
        <v>4824</v>
      </c>
      <c r="AC31" s="1125">
        <f t="shared" si="21"/>
        <v>1442</v>
      </c>
      <c r="AD31" s="1125">
        <f t="shared" si="21"/>
        <v>0</v>
      </c>
      <c r="AE31" s="1127">
        <f t="shared" si="21"/>
        <v>0</v>
      </c>
      <c r="AF31" s="1128">
        <f t="shared" si="21"/>
        <v>0</v>
      </c>
      <c r="AG31" s="1129">
        <f t="shared" si="21"/>
        <v>0</v>
      </c>
      <c r="AH31" s="1127">
        <f t="shared" si="21"/>
        <v>0</v>
      </c>
      <c r="AI31" s="1117">
        <f t="shared" si="21"/>
        <v>2270</v>
      </c>
      <c r="AJ31" s="1117">
        <f t="shared" si="21"/>
        <v>0</v>
      </c>
      <c r="AK31" s="1127">
        <f t="shared" si="21"/>
        <v>0</v>
      </c>
      <c r="AL31" s="1183">
        <f>IF(ISNUMBER(NºAsuntos!G31/NºAsuntos!E31),NºAsuntos!G31/NºAsuntos!E31," - ")</f>
        <v>0.99042494984497542</v>
      </c>
      <c r="AM31" s="1184">
        <f>IF(ISNUMBER(((NºAsuntos!I31/NºAsuntos!G31)*11)/factor_trimestre),((NºAsuntos!I31/NºAsuntos!G31)*11)/factor_trimestre," - ")</f>
        <v>3.822299972378234</v>
      </c>
      <c r="AN31" s="1184">
        <f>IF(ISNUMBER('Resol  Asuntos'!D31/NºAsuntos!G31),'Resol  Asuntos'!D31/NºAsuntos!G31," - ")</f>
        <v>0.20900469570021177</v>
      </c>
      <c r="AO31" s="1185">
        <f>IF(ISNUMBER((NºAsuntos!C31+NºAsuntos!E31)/NºAsuntos!G31),(NºAsuntos!C31+NºAsuntos!E31)/NºAsuntos!G31," - ")</f>
        <v>1.3464690175858576</v>
      </c>
      <c r="AP31" s="1186" t="str">
        <f t="shared" si="2"/>
        <v xml:space="preserve"> - </v>
      </c>
      <c r="AQ31" s="1187">
        <f>IF(OR(ISNUMBER(FIND("01",Criterios!A8,1)),ISNUMBER(FIND("02",Criterios!A8,1)),ISNUMBER(FIND("03",Criterios!A8,1)),ISNUMBER(FIND("04",Criterios!A8,1))),(I31-W31+K31)/(F31-K31),(H31-W31+K31)/(F31-K31))</f>
        <v>-3.7192118226600983</v>
      </c>
      <c r="AR31" s="1188">
        <f>IF(ISNUMBER((Datos!P31-Datos!Q31)/(Datos!R31-Datos!P31+Datos!Q31)),(Datos!P31-Datos!Q31)/(Datos!R31-Datos!P31+Datos!Q31)," - ")</f>
        <v>-0.14133143467426129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1.6077298658784152</v>
      </c>
      <c r="F33" s="276">
        <f>IF(ISNUMBER(STDEV(F8:F30)),STDEV(F8:F30),"-")</f>
        <v>605.11883130505862</v>
      </c>
      <c r="G33" s="277">
        <f>IF(ISNUMBER(STDEV(G8:G30)),STDEV(G8:G30),"-")</f>
        <v>568.6492349251447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2067.0858484257265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534.12836576155655</v>
      </c>
      <c r="AJ33" s="276">
        <f t="shared" si="25"/>
        <v>0</v>
      </c>
      <c r="AK33" s="278">
        <f t="shared" si="25"/>
        <v>0</v>
      </c>
      <c r="AL33" s="273">
        <f t="shared" si="25"/>
        <v>4.9376067922664489E-2</v>
      </c>
      <c r="AM33" s="274">
        <f t="shared" si="25"/>
        <v>1.8806008818582378</v>
      </c>
      <c r="AN33" s="274">
        <f t="shared" si="25"/>
        <v>0.13930623759213848</v>
      </c>
      <c r="AO33" s="275">
        <f t="shared" si="25"/>
        <v>0.18599476311743626</v>
      </c>
      <c r="AP33" s="317" t="str">
        <f t="shared" si="25"/>
        <v>-</v>
      </c>
      <c r="AQ33" s="318">
        <f t="shared" si="25"/>
        <v>1.4580654436315583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nEbGtTqrs5ykxry2hCAmw0jstb9860STuSndzAV0K+lYOxRvyMv22f9YtSSo6dqopbshBLG6ljej7qBdvHWlQ==" saltValue="jLWcecy1LshWwXBBYrVi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PONTEVEDRA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350</v>
      </c>
      <c r="O5" s="175"/>
      <c r="P5" s="175"/>
      <c r="Q5" s="184" t="s">
        <v>351</v>
      </c>
      <c r="R5" s="184"/>
      <c r="S5" s="182"/>
      <c r="T5" s="182"/>
    </row>
    <row r="6" spans="2:20" ht="12.75" customHeight="1">
      <c r="B6" s="298"/>
      <c r="C6" s="1672"/>
      <c r="D6" s="1660"/>
      <c r="E6" s="1702"/>
      <c r="F6" s="1699"/>
      <c r="G6" s="1696"/>
      <c r="H6" s="1693"/>
      <c r="I6" s="1657"/>
      <c r="J6" s="1686"/>
      <c r="K6" s="1648"/>
      <c r="M6" s="1688" t="s">
        <v>366</v>
      </c>
      <c r="N6" s="1688" t="s">
        <v>347</v>
      </c>
      <c r="O6" s="1688" t="s">
        <v>348</v>
      </c>
      <c r="P6" s="1688" t="s">
        <v>349</v>
      </c>
      <c r="Q6" s="1688" t="s">
        <v>366</v>
      </c>
      <c r="R6" s="1688" t="s">
        <v>347</v>
      </c>
      <c r="S6" s="1688" t="s">
        <v>348</v>
      </c>
      <c r="T6" s="1688" t="s">
        <v>349</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-3.8053097345132743E-2</v>
      </c>
      <c r="I9" s="395">
        <f>IF(ISNUMBER((Tasas!C9-Datos!BE9)/Datos!BE9),(Tasas!C9-Datos!BE9)/Datos!BE9," - ")</f>
        <v>0.24764913630297072</v>
      </c>
      <c r="J9" s="394">
        <f>IF(ISNUMBER((Tasas!D9-Datos!BF9)/Datos!BF9),(Tasas!D9-Datos!BF9)/Datos!BF9," - ")</f>
        <v>-0.41228794812861996</v>
      </c>
      <c r="K9" s="396">
        <f>IF(ISNUMBER((Tasas!E9-Datos!BG9)/Datos!BG9),(Tasas!E9-Datos!BG9)/Datos!BG9," - ")</f>
        <v>6.6702453028392616E-2</v>
      </c>
      <c r="M9" t="e">
        <f>IF(Monitorios="SI",Datos!CE9,0)</f>
        <v>#REF!</v>
      </c>
      <c r="N9" t="e">
        <f>IF(Monitorios="SI",Datos!CF9,0)</f>
        <v>#REF!</v>
      </c>
      <c r="O9" t="e">
        <f>IF(Monitorios="SI",Datos!CG9,0)</f>
        <v>#REF!</v>
      </c>
      <c r="P9" t="e">
        <f>IF(Monitorios="SI",Datos!CH9,0)</f>
        <v>#REF!</v>
      </c>
      <c r="Q9">
        <f>IF(J_V="SI",0,Datos!AG9)</f>
        <v>118</v>
      </c>
      <c r="R9">
        <f>IF(J_V="SI",0,Datos!AH9)</f>
        <v>376</v>
      </c>
      <c r="S9">
        <f>IF(J_V="SI",0,Datos!AI9)</f>
        <v>417</v>
      </c>
      <c r="T9">
        <f>IF(J_V="SI",0,Datos!AJ9)</f>
        <v>77</v>
      </c>
    </row>
    <row r="10" spans="2:20" ht="14.25">
      <c r="B10" s="300" t="s">
        <v>317</v>
      </c>
      <c r="C10" s="7" t="str">
        <f>Datos!A10</f>
        <v>Jdos. Violencia contra la mujer</v>
      </c>
      <c r="D10" s="397">
        <f>IF(ISNUMBER((Datos!I10-Datos!S10)/Datos!S10),(Datos!I10-Datos!S10)/Datos!S10," - ")</f>
        <v>-0.20930232558139536</v>
      </c>
      <c r="E10" s="393">
        <f>IF(ISNUMBER((Datos!J10-Datos!T10)/Datos!T10),(Datos!J10-Datos!T10)/Datos!T10," - ")</f>
        <v>-0.25</v>
      </c>
      <c r="F10" s="393">
        <f>IF(ISNUMBER((Datos!K10-Datos!U10)/Datos!U10),(Datos!K10-Datos!U10)/Datos!U10," - ")</f>
        <v>-0.37647058823529411</v>
      </c>
      <c r="G10" s="394">
        <f>IF(ISNUMBER((Datos!L10-Datos!V10)/Datos!V10),(Datos!L10-Datos!V10)/Datos!V10," - ")</f>
        <v>2.9411764705882353E-2</v>
      </c>
      <c r="H10" s="244">
        <f>IF(ISNUMBER((Datos!M10-Datos!W10)/Datos!W10),(Datos!M10-Datos!W10)/Datos!W10," - ")</f>
        <v>-0.1</v>
      </c>
      <c r="I10" s="395">
        <f>IF(ISNUMBER((Tasas!C10-Datos!BE10)/Datos!BE10),(Tasas!C10-Datos!BE10)/Datos!BE10," - ")</f>
        <v>0.65094339622641495</v>
      </c>
      <c r="J10" s="394">
        <f>IF(ISNUMBER((Tasas!D10-Datos!BF10)/Datos!BF10),(Tasas!D10-Datos!BF10)/Datos!BF10," - ")</f>
        <v>0.44339622641509424</v>
      </c>
      <c r="K10" s="396">
        <f>IF(ISNUMBER((Tasas!E10-Datos!BG10)/Datos!BG10),(Tasas!E10-Datos!BG10)/Datos!BG10," - ")</f>
        <v>0.22641509433962276</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-0.43089430894308944</v>
      </c>
      <c r="I11" s="395">
        <f>IF(ISNUMBER((Tasas!C11-Datos!BE11)/Datos!BE11),(Tasas!C11-Datos!BE11)/Datos!BE11," - ")</f>
        <v>5.8461315560707161E-2</v>
      </c>
      <c r="J11" s="394">
        <f>IF(ISNUMBER((Tasas!D11-Datos!BF11)/Datos!BF11),(Tasas!D11-Datos!BF11)/Datos!BF11," - ")</f>
        <v>-0.66391329050303738</v>
      </c>
      <c r="K11" s="396">
        <f>IF(ISNUMBER((Tasas!E11-Datos!BG11)/Datos!BG11),(Tasas!E11-Datos!BG11)/Datos!BG11," - ")</f>
        <v>-1.0117570105997535E-2</v>
      </c>
      <c r="M11" t="e">
        <f>IF(Monitorios="SI",Datos!CE11,0)</f>
        <v>#REF!</v>
      </c>
      <c r="N11" t="e">
        <f>IF(Monitorios="SI",Datos!CF11,0)</f>
        <v>#REF!</v>
      </c>
      <c r="O11" t="e">
        <f>IF(Monitorios="SI",Datos!CG11,0)</f>
        <v>#REF!</v>
      </c>
      <c r="P11" t="e">
        <f>IF(Monitorios="SI",Datos!CH11,0)</f>
        <v>#REF!</v>
      </c>
      <c r="Q11">
        <f>IF(J_V="SI",0,Datos!AG11)</f>
        <v>29</v>
      </c>
      <c r="R11">
        <f>IF(J_V="SI",0,Datos!AH11)</f>
        <v>655</v>
      </c>
      <c r="S11">
        <f>IF(J_V="SI",0,Datos!AI11)</f>
        <v>632</v>
      </c>
      <c r="T11">
        <f>IF(J_V="SI",0,Datos!AJ11)</f>
        <v>94</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-0.24999999999999994</v>
      </c>
      <c r="J12" s="394">
        <f>IF(ISNUMBER((Tasas!D12-Datos!BF12)/Datos!BF12),(Tasas!D12-Datos!BF12)/Datos!BF12," - ")</f>
        <v>-1</v>
      </c>
      <c r="K12" s="396">
        <f>IF(ISNUMBER((Tasas!E12-Datos!BG12)/Datos!BG12),(Tasas!E12-Datos!BG12)/Datos!BG12," - ")</f>
        <v>-6.2499999999999944E-2</v>
      </c>
      <c r="M12" t="e">
        <f>IF(Monitorios="SI",Datos!CE12,0)</f>
        <v>#REF!</v>
      </c>
      <c r="N12" t="e">
        <f>IF(Monitorios="SI",Datos!CF12,0)</f>
        <v>#REF!</v>
      </c>
      <c r="O12" t="e">
        <f>IF(Monitorios="SI",Datos!CG12,0)</f>
        <v>#REF!</v>
      </c>
      <c r="P12" t="e">
        <f>IF(Monitorios="SI",Datos!CH12,0)</f>
        <v>#REF!</v>
      </c>
      <c r="Q12">
        <f>IF(J_V="SI",0,Datos!AG12)</f>
        <v>0</v>
      </c>
      <c r="R12">
        <f>IF(J_V="SI",0,Datos!AH12)</f>
        <v>2</v>
      </c>
      <c r="S12">
        <f>IF(J_V="SI",0,Datos!AI12)</f>
        <v>2</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-0.15617433414043583</v>
      </c>
      <c r="I14" s="402">
        <f>IF(ISNUMBER((Tasas!C14-Datos!BE14)/Datos!BE14),(Tasas!C14-Datos!BE14)/Datos!BE14," - ")</f>
        <v>0.20283528362076833</v>
      </c>
      <c r="J14" s="400">
        <f>IF(ISNUMBER((Tasas!D14-Datos!BF14)/Datos!BF14),(Tasas!D14-Datos!BF14)/Datos!BF14," - ")</f>
        <v>-0.48029483576444593</v>
      </c>
      <c r="K14" s="403">
        <f>IF(ISNUMBER((Tasas!E14-Datos!BG14)/Datos!BG14),(Tasas!E14-Datos!BG14)/Datos!BG14," - ")</f>
        <v>4.7915068008787087E-2</v>
      </c>
      <c r="M14" t="e">
        <f>IF(Monitorios="SI",Datos!CE14,0)</f>
        <v>#REF!</v>
      </c>
      <c r="N14" t="e">
        <f>IF(Monitorios="SI",Datos!CF14,0)</f>
        <v>#REF!</v>
      </c>
      <c r="O14" t="e">
        <f>IF(Monitorios="SI",Datos!CG14,0)</f>
        <v>#REF!</v>
      </c>
      <c r="P14" t="e">
        <f>IF(Monitorios="SI",Datos!CH14,0)</f>
        <v>#REF!</v>
      </c>
      <c r="Q14">
        <f>IF(J_V="SI",0,Datos!AG14)</f>
        <v>147</v>
      </c>
      <c r="R14">
        <f>IF(J_V="SI",0,Datos!AH14)</f>
        <v>1033</v>
      </c>
      <c r="S14">
        <f>IF(J_V="SI",0,Datos!AI14)</f>
        <v>1051</v>
      </c>
      <c r="T14">
        <f>IF(J_V="SI",0,Datos!AJ14)</f>
        <v>171</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-0.23061630218687873</v>
      </c>
      <c r="E16" s="393">
        <f>IF(ISNUMBER(
   IF(D_I="SI",(Datos!J16-Datos!T16)/Datos!T16,(Datos!J16+Datos!AD16-(Datos!T16+Datos!AL16))/(Datos!T16+Datos!AL16))
     ),IF(D_I="SI",(Datos!J16-Datos!T16)/Datos!T16,(Datos!J16+Datos!AD16-(Datos!T16+Datos!AL16))/(Datos!T16+Datos!AL16))," - ")</f>
        <v>2.1739130434782608E-2</v>
      </c>
      <c r="F16" s="393">
        <f>IF(ISNUMBER(
   IF(D_I="SI",(Datos!K16-Datos!U16)/Datos!U16,(Datos!K16+Datos!AE16-(Datos!U16+Datos!AM16))/(Datos!U16+Datos!AM16))
     ),IF(D_I="SI",(Datos!K16-Datos!U16)/Datos!U16,(Datos!K16+Datos!AE16-(Datos!U16+Datos!AM16))/(Datos!U16+Datos!AM16))," - ")</f>
        <v>-1.5194681861348529E-2</v>
      </c>
      <c r="G16" s="394">
        <f>IF(ISNUMBER(
   IF(D_I="SI",(Datos!L16-Datos!V16)/Datos!V16,(Datos!L16+Datos!AF16-(Datos!V16+Datos!AN16))/(Datos!V16+Datos!AN16))
     ),IF(D_I="SI",(Datos!L16-Datos!V16)/Datos!V16,(Datos!L16+Datos!AF16-(Datos!V16+Datos!AN16))/(Datos!V16+Datos!AN16))," - ")</f>
        <v>-0.14987080103359174</v>
      </c>
      <c r="H16" s="244">
        <f>IF(ISNUMBER((Datos!M16-Datos!W16)/Datos!W16),(Datos!M16-Datos!W16)/Datos!W16," - ")</f>
        <v>2.2784810126582278E-2</v>
      </c>
      <c r="I16" s="395">
        <f>IF(ISNUMBER((Tasas!C16-Datos!BE16)/Datos!BE16),(Tasas!C16-Datos!BE16)/Datos!BE16," - ")</f>
        <v>-0.1367540535085556</v>
      </c>
      <c r="J16" s="394">
        <f>IF(ISNUMBER((Tasas!D16-Datos!BF16)/Datos!BF16),(Tasas!D16-Datos!BF16)/Datos!BF16," - ")</f>
        <v>3.8565482221110128E-2</v>
      </c>
      <c r="K16" s="396">
        <f>IF(ISNUMBER((Tasas!E16-Datos!BG16)/Datos!BG16),(Tasas!E16-Datos!BG16)/Datos!BG16," - ")</f>
        <v>-3.4463542398588905E-2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-5.0847457627118647E-2</v>
      </c>
      <c r="E18" s="393">
        <f>IF(ISNUMBER(
   IF(D_I="SI",(Datos!J18-Datos!T18)/Datos!T18,(Datos!J18+Datos!AD18-(Datos!T18+Datos!AL18))/(Datos!T18+Datos!AL18))
     ),IF(D_I="SI",(Datos!J18-Datos!T18)/Datos!T18,(Datos!J18+Datos!AD18-(Datos!T18+Datos!AL18))/(Datos!T18+Datos!AL18))," - ")</f>
        <v>-1.2461059190031152E-2</v>
      </c>
      <c r="F18" s="393">
        <f>IF(ISNUMBER(
   IF(D_I="SI",(Datos!K18-Datos!U18)/Datos!U18,(Datos!K18+Datos!AE18-(Datos!U18+Datos!AM18))/(Datos!U18+Datos!AM18))
     ),IF(D_I="SI",(Datos!K18-Datos!U18)/Datos!U18,(Datos!K18+Datos!AE18-(Datos!U18+Datos!AM18))/(Datos!U18+Datos!AM18))," - ")</f>
        <v>1.5432098765432098E-2</v>
      </c>
      <c r="G18" s="394">
        <f>IF(ISNUMBER(
   IF(D_I="SI",(Datos!L18-Datos!V18)/Datos!V18,(Datos!L18+Datos!AF18-(Datos!V18+Datos!AN18))/(Datos!V18+Datos!AN18))
     ),IF(D_I="SI",(Datos!L18-Datos!V18)/Datos!V18,(Datos!L18+Datos!AF18-(Datos!V18+Datos!AN18))/(Datos!V18+Datos!AN18))," - ")</f>
        <v>-0.26785714285714285</v>
      </c>
      <c r="H18" s="244">
        <f>IF(ISNUMBER((Datos!M18-Datos!W18)/Datos!W18),(Datos!M18-Datos!W18)/Datos!W18," - ")</f>
        <v>-0.2</v>
      </c>
      <c r="I18" s="395">
        <f>IF(ISNUMBER((Tasas!C18-Datos!BE18)/Datos!BE18),(Tasas!C18-Datos!BE18)/Datos!BE18," - ")</f>
        <v>-0.27898393399913152</v>
      </c>
      <c r="J18" s="394">
        <f>IF(ISNUMBER((Tasas!D18-Datos!BF18)/Datos!BF18),(Tasas!D18-Datos!BF18)/Datos!BF18," - ")</f>
        <v>-0.21215805471124619</v>
      </c>
      <c r="K18" s="396">
        <f>IF(ISNUMBER((Tasas!E18-Datos!BG18)/Datos!BG18),(Tasas!E18-Datos!BG18)/Datos!BG18," - ")</f>
        <v>-3.333866581347001E-2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-0.22385204081632654</v>
      </c>
      <c r="E23" s="399">
        <f>IF(ISNUMBER(
   IF(D_I="SI",(Datos!J23-Datos!T23)/Datos!T23,(Datos!J23+Datos!AD23-(Datos!T23+Datos!AL23))/(Datos!T23+Datos!AL23))
     ),IF(D_I="SI",(Datos!J23-Datos!T23)/Datos!T23,(Datos!J23+Datos!AD23-(Datos!T23+Datos!AL23))/(Datos!T23+Datos!AL23))," - ")</f>
        <v>1.9115890083632018E-2</v>
      </c>
      <c r="F23" s="399">
        <f>IF(ISNUMBER(
   IF(D_I="SI",(Datos!K23-Datos!U23)/Datos!U23,(Datos!K23+Datos!AE23-(Datos!U23+Datos!AM23))/(Datos!U23+Datos!AM23))
     ),IF(D_I="SI",(Datos!K23-Datos!U23)/Datos!U23,(Datos!K23+Datos!AE23-(Datos!U23+Datos!AM23))/(Datos!U23+Datos!AM23))," - ")</f>
        <v>-1.300705467372134E-2</v>
      </c>
      <c r="G23" s="400">
        <f>IF(ISNUMBER(
   IF(D_I="SI",(Datos!L23-Datos!V23)/Datos!V23,(Datos!L23+Datos!AF23-(Datos!V23+Datos!AN23))/(Datos!V23+Datos!AN23))
     ),IF(D_I="SI",(Datos!L23-Datos!V23)/Datos!V23,(Datos!L23+Datos!AF23-(Datos!V23+Datos!AN23))/(Datos!V23+Datos!AN23))," - ")</f>
        <v>-0.1552999178307313</v>
      </c>
      <c r="H23" s="401">
        <f>IF(ISNUMBER((Datos!M23-Datos!W23)/Datos!W23),(Datos!M23-Datos!W23)/Datos!W23," - ")</f>
        <v>1.1428571428571429E-3</v>
      </c>
      <c r="I23" s="402">
        <f>IF(ISNUMBER((Tasas!C23-Datos!BE23)/Datos!BE23),(Tasas!C23-Datos!BE23)/Datos!BE23," - ")</f>
        <v>-0.14416806506146909</v>
      </c>
      <c r="J23" s="400">
        <f>IF(ISNUMBER((Tasas!D23-Datos!BF23)/Datos!BF23),(Tasas!D23-Datos!BF23)/Datos!BF23," - ")</f>
        <v>1.4336385972749595E-2</v>
      </c>
      <c r="K23" s="403">
        <f>IF(ISNUMBER((Tasas!E23-Datos!BG23)/Datos!BG23),(Tasas!E23-Datos!BG23)/Datos!BG23," - ")</f>
        <v>-3.4548173116193001E-2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-0.21770744225834046</v>
      </c>
      <c r="E31" s="409">
        <f>IF(ISNUMBER(
   IF(J_V="SI",(Datos!J31-Datos!T31)/Datos!T31,(Datos!J31+Datos!Z31-(Datos!T31+Datos!AH31))/(Datos!T31+Datos!AH31))
     ),IF(J_V="SI",(Datos!J31-Datos!T31)/Datos!T31,(Datos!J31+Datos!Z31-(Datos!T31+Datos!AH31))/(Datos!T31+Datos!AH31))," - ")</f>
        <v>5.3916386352715041E-2</v>
      </c>
      <c r="F31" s="409">
        <f>IF(ISNUMBER(
   IF(J_V="SI",(Datos!K31-Datos!U31)/Datos!U31,(Datos!K31+Datos!AA31-(Datos!U31+Datos!AI31))/(Datos!U31+Datos!AI31))
     ),IF(J_V="SI",(Datos!K31-Datos!U31)/Datos!U31,(Datos!K31+Datos!AA31-(Datos!U31+Datos!AI31))/(Datos!U31+Datos!AI31))," - ")</f>
        <v>-4.4094349586340433E-2</v>
      </c>
      <c r="G31" s="410">
        <f>IF(ISNUMBER(
   IF(J_V="SI",(Datos!L31-Datos!V31)/Datos!V31,(Datos!L31+Datos!AB31-(Datos!V31+Datos!AJ31))/(Datos!V31+Datos!AJ31))
     ),IF(J_V="SI",(Datos!L31-Datos!V31)/Datos!V31,(Datos!L31+Datos!AB31-(Datos!V31+Datos!AJ31))/(Datos!V31+Datos!AJ31))," - ")</f>
        <v>3.1711317659923452E-2</v>
      </c>
      <c r="H31" s="411">
        <f>IF(ISNUMBER((Datos!M31-Datos!W31)/Datos!W31),(Datos!M31-Datos!W31)/Datos!W31," - ")</f>
        <v>-0.10170162247724575</v>
      </c>
      <c r="I31" s="408">
        <f>IF(ISNUMBER((Tasas!C31-Datos!BE31)/Datos!BE31),(Tasas!C31-Datos!BE31)/Datos!BE31," - ")</f>
        <v>7.9302457531723672E-2</v>
      </c>
      <c r="J31" s="409">
        <f>IF(ISNUMBER((Tasas!D31-Datos!BF31)/Datos!BF31),(Tasas!D31-Datos!BF31)/Datos!BF31," - ")</f>
        <v>-0.36555935010798662</v>
      </c>
      <c r="K31" s="410">
        <f>IF(ISNUMBER((Tasas!E31-Datos!BG31)/Datos!BG31),(Tasas!E31-Datos!BG31)/Datos!BG31," - ")</f>
        <v>1.442749007429962E-2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8.5667527638965874E-2</v>
      </c>
      <c r="E33" s="303">
        <f t="shared" si="1"/>
        <v>0.1306598330882601</v>
      </c>
      <c r="F33" s="303">
        <f t="shared" si="1"/>
        <v>0.1866291571732514</v>
      </c>
      <c r="G33" s="304">
        <f t="shared" si="1"/>
        <v>0.12289861286140739</v>
      </c>
      <c r="H33" s="310">
        <f t="shared" si="1"/>
        <v>0.15599534354745639</v>
      </c>
      <c r="I33" s="302">
        <f t="shared" si="1"/>
        <v>0.31489780555523655</v>
      </c>
      <c r="J33" s="303">
        <f t="shared" si="1"/>
        <v>0.45344698500332303</v>
      </c>
      <c r="K33" s="304">
        <f t="shared" si="1"/>
        <v>9.4160255290204595E-2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eth6gVzjjo5Tce5V9Zh7+f2m2/Pp8sDR5sLnqRAuMU/JkQ2zZZJdQGr9XRnFX70y3fsB4pvxfYebvoeWTYZIg==" saltValue="rdifbLS6CzMw0IRk/9oqz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